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Filesv\各部署共有フォルダ（課別）\医療保険課共有\01　国保\01-27   国保税賦課関係\【重要】国保移管用フォルダ\05_広報・ホームページ・FAQ\国保試算シート\国保税試算シート_R07\"/>
    </mc:Choice>
  </mc:AlternateContent>
  <xr:revisionPtr revIDLastSave="0" documentId="13_ncr:1_{BBFB2466-F9C2-42DF-807D-637A42583183}" xr6:coauthVersionLast="36" xr6:coauthVersionMax="36" xr10:uidLastSave="{00000000-0000-0000-0000-000000000000}"/>
  <workbookProtection workbookAlgorithmName="SHA-512" workbookHashValue="5wipjyyqi1XcKviFwkvLkIQpzj22vVVyWXAdYicCmQdfPGxP1VpwI1oc/Wei6NRhJr8tj30bWXXl3NRWF94jwg==" workbookSaltValue="lWYQd6ABVPE0gNRr/7s2eg==" workbookSpinCount="100000" lockStructure="1"/>
  <bookViews>
    <workbookView xWindow="7635" yWindow="-15" windowWidth="7665" windowHeight="8685" tabRatio="602" xr2:uid="{00000000-000D-0000-FFFF-FFFF00000000}"/>
  </bookViews>
  <sheets>
    <sheet name="情報入力" sheetId="2" r:id="rId1"/>
    <sheet name="税額計算" sheetId="1" r:id="rId2"/>
    <sheet name="管理用" sheetId="20" state="hidden" r:id="rId3"/>
    <sheet name="世１" sheetId="3" state="hidden" r:id="rId4"/>
    <sheet name="世２" sheetId="10" state="hidden" r:id="rId5"/>
    <sheet name="世３" sheetId="11" state="hidden" r:id="rId6"/>
    <sheet name="世４" sheetId="12" state="hidden" r:id="rId7"/>
    <sheet name="世５" sheetId="13" state="hidden" r:id="rId8"/>
    <sheet name="世６" sheetId="14" state="hidden" r:id="rId9"/>
    <sheet name="世７" sheetId="15" state="hidden" r:id="rId10"/>
    <sheet name="世主" sheetId="16" state="hidden" r:id="rId11"/>
    <sheet name="旧１" sheetId="17" state="hidden" r:id="rId12"/>
    <sheet name="旧２" sheetId="18" state="hidden" r:id="rId13"/>
    <sheet name="旧３" sheetId="19" state="hidden" r:id="rId14"/>
  </sheets>
  <definedNames>
    <definedName name="_xlnm.Print_Area" localSheetId="0">情報入力!$A$1:$X$61</definedName>
    <definedName name="_xlnm.Print_Area" localSheetId="1">税額計算!$A$1:$AE$60</definedName>
  </definedNames>
  <calcPr calcId="191029"/>
</workbook>
</file>

<file path=xl/calcChain.xml><?xml version="1.0" encoding="utf-8"?>
<calcChain xmlns="http://schemas.openxmlformats.org/spreadsheetml/2006/main">
  <c r="AW53" i="2" l="1"/>
  <c r="H27" i="19" l="1"/>
  <c r="H28" i="19" s="1"/>
  <c r="H29" i="19" s="1"/>
  <c r="AW43" i="2" s="1"/>
  <c r="BA43" i="2" s="1"/>
  <c r="H27" i="18"/>
  <c r="H28" i="18" s="1"/>
  <c r="H29" i="18" s="1"/>
  <c r="AW42" i="2" s="1"/>
  <c r="BA42" i="2" s="1"/>
  <c r="H27" i="15"/>
  <c r="H28" i="15" s="1"/>
  <c r="H29" i="15" s="1"/>
  <c r="AW30" i="2" s="1"/>
  <c r="BA30" i="2" s="1"/>
  <c r="H27" i="14"/>
  <c r="H28" i="14" s="1"/>
  <c r="H29" i="14" s="1"/>
  <c r="AW29" i="2" s="1"/>
  <c r="BA29" i="2" s="1"/>
  <c r="H27" i="13"/>
  <c r="H28" i="13" s="1"/>
  <c r="H29" i="13" s="1"/>
  <c r="AW28" i="2" s="1"/>
  <c r="BA28" i="2" s="1"/>
  <c r="H27" i="12"/>
  <c r="H28" i="12" s="1"/>
  <c r="H29" i="12" s="1"/>
  <c r="AW27" i="2" s="1"/>
  <c r="BA27" i="2" s="1"/>
  <c r="BA41" i="2"/>
  <c r="AW41" i="2"/>
  <c r="AC41" i="2"/>
  <c r="H27" i="17"/>
  <c r="H28" i="17" s="1"/>
  <c r="H29" i="17" s="1"/>
  <c r="H26" i="12"/>
  <c r="H26" i="13"/>
  <c r="H26" i="14"/>
  <c r="H26" i="15"/>
  <c r="H26" i="16"/>
  <c r="H26" i="17"/>
  <c r="H26" i="18"/>
  <c r="H26" i="19"/>
  <c r="D31" i="2" l="1"/>
  <c r="D12" i="20"/>
  <c r="F35" i="19" l="1"/>
  <c r="F35" i="18"/>
  <c r="F35" i="17"/>
  <c r="F35" i="16"/>
  <c r="F35" i="15"/>
  <c r="F35" i="14"/>
  <c r="F35" i="13"/>
  <c r="F35" i="12"/>
  <c r="F35" i="11"/>
  <c r="F35" i="10"/>
  <c r="Q40" i="1" l="1"/>
  <c r="E26" i="20"/>
  <c r="K41" i="1" s="1"/>
  <c r="E25" i="20"/>
  <c r="E24" i="20"/>
  <c r="Q39" i="1" s="1"/>
  <c r="E23" i="20"/>
  <c r="P43" i="1" s="1"/>
  <c r="E22" i="20"/>
  <c r="K24" i="1" s="1"/>
  <c r="E21" i="20"/>
  <c r="Q23" i="1" s="1"/>
  <c r="E20" i="20"/>
  <c r="Q22" i="1" s="1"/>
  <c r="E19" i="20"/>
  <c r="K20" i="1" s="1"/>
  <c r="E18" i="20"/>
  <c r="K7" i="1" s="1"/>
  <c r="E17" i="20"/>
  <c r="Q6" i="1" s="1"/>
  <c r="E16" i="20"/>
  <c r="Q5" i="1" s="1"/>
  <c r="E15" i="20"/>
  <c r="P9" i="1" s="1"/>
  <c r="D27" i="20"/>
  <c r="E27" i="20" s="1"/>
  <c r="E12" i="20"/>
  <c r="D17" i="2" s="1"/>
  <c r="D10" i="20"/>
  <c r="M33" i="12" s="1"/>
  <c r="D9" i="20"/>
  <c r="E9" i="20" s="1"/>
  <c r="D6" i="20"/>
  <c r="E6" i="20" s="1"/>
  <c r="D8" i="20"/>
  <c r="E8" i="20" s="1"/>
  <c r="A47" i="2" s="1"/>
  <c r="D7" i="20"/>
  <c r="E7" i="20" s="1"/>
  <c r="A46" i="2" s="1"/>
  <c r="E5" i="20"/>
  <c r="P26" i="1" l="1"/>
  <c r="K37" i="1"/>
  <c r="B12" i="2"/>
  <c r="K3" i="1"/>
  <c r="B2" i="2"/>
  <c r="G17" i="2"/>
  <c r="M33" i="17"/>
  <c r="M33" i="16"/>
  <c r="E10" i="20"/>
  <c r="M33" i="15"/>
  <c r="M33" i="14"/>
  <c r="M33" i="19"/>
  <c r="M33" i="18"/>
  <c r="D11" i="20"/>
  <c r="E11" i="20" s="1"/>
  <c r="M33" i="13"/>
  <c r="M33" i="11"/>
  <c r="M33" i="10"/>
  <c r="M33" i="3"/>
  <c r="AW54" i="2"/>
  <c r="A51" i="2" s="1"/>
  <c r="V49" i="2"/>
  <c r="K17" i="2" l="1"/>
  <c r="AW52" i="2"/>
  <c r="C41" i="3" l="1"/>
  <c r="C41" i="17" s="1"/>
  <c r="C41" i="14" l="1"/>
  <c r="C41" i="16"/>
  <c r="C41" i="13"/>
  <c r="C41" i="10"/>
  <c r="C41" i="12"/>
  <c r="C41" i="19"/>
  <c r="C41" i="11"/>
  <c r="C41" i="18"/>
  <c r="C41" i="15"/>
  <c r="AG6" i="1"/>
  <c r="AB5" i="1" s="1"/>
  <c r="BE24" i="2" l="1"/>
  <c r="BE43" i="2"/>
  <c r="BE42" i="2"/>
  <c r="BE41" i="2"/>
  <c r="BE35" i="2"/>
  <c r="BE30" i="2"/>
  <c r="BE29" i="2"/>
  <c r="BE28" i="2"/>
  <c r="BE27" i="2"/>
  <c r="BE26" i="2"/>
  <c r="BE25" i="2"/>
  <c r="BE45" i="2" l="1"/>
  <c r="L33" i="19" l="1"/>
  <c r="L34" i="19" s="1"/>
  <c r="F33" i="19"/>
  <c r="F3" i="19"/>
  <c r="F20" i="19" s="1"/>
  <c r="L33" i="18"/>
  <c r="L35" i="18" s="1"/>
  <c r="F33" i="18"/>
  <c r="F3" i="18"/>
  <c r="F6" i="18" s="1"/>
  <c r="C57" i="19"/>
  <c r="C56" i="19"/>
  <c r="C55" i="19"/>
  <c r="C54" i="19"/>
  <c r="C48" i="19"/>
  <c r="C47" i="19"/>
  <c r="C46" i="19"/>
  <c r="C45" i="19"/>
  <c r="O33" i="19"/>
  <c r="C16" i="19"/>
  <c r="C15" i="19"/>
  <c r="C14" i="19"/>
  <c r="C13" i="19"/>
  <c r="C12" i="19"/>
  <c r="C11" i="19"/>
  <c r="F11" i="19" s="1"/>
  <c r="G11" i="19" s="1"/>
  <c r="C10" i="19"/>
  <c r="C9" i="19"/>
  <c r="C8" i="19"/>
  <c r="C7" i="19"/>
  <c r="F6" i="19"/>
  <c r="C57" i="18"/>
  <c r="C56" i="18"/>
  <c r="C55" i="18"/>
  <c r="C54" i="18"/>
  <c r="C48" i="18"/>
  <c r="C47" i="18"/>
  <c r="C46" i="18"/>
  <c r="C45" i="18"/>
  <c r="O33" i="18"/>
  <c r="C16" i="18"/>
  <c r="C15" i="18"/>
  <c r="C14" i="18"/>
  <c r="C13" i="18"/>
  <c r="C12" i="18"/>
  <c r="C11" i="18"/>
  <c r="C10" i="18"/>
  <c r="C9" i="18"/>
  <c r="C8" i="18"/>
  <c r="C7" i="18"/>
  <c r="L33" i="17"/>
  <c r="L35" i="17" s="1"/>
  <c r="F33" i="17"/>
  <c r="F3" i="17"/>
  <c r="F20" i="17" s="1"/>
  <c r="C57" i="17"/>
  <c r="C56" i="17"/>
  <c r="C55" i="17"/>
  <c r="C54" i="17"/>
  <c r="C48" i="17"/>
  <c r="C47" i="17"/>
  <c r="C46" i="17"/>
  <c r="C45" i="17"/>
  <c r="O33" i="17"/>
  <c r="C16" i="17"/>
  <c r="C15" i="17"/>
  <c r="C14" i="17"/>
  <c r="C13" i="17"/>
  <c r="C12" i="17"/>
  <c r="C11" i="17"/>
  <c r="C10" i="17"/>
  <c r="C9" i="17"/>
  <c r="C8" i="17"/>
  <c r="C7" i="17"/>
  <c r="AK35" i="2"/>
  <c r="L33" i="16"/>
  <c r="L34" i="16" s="1"/>
  <c r="F33" i="16"/>
  <c r="F3" i="16"/>
  <c r="F6" i="16" s="1"/>
  <c r="C57" i="16"/>
  <c r="C56" i="16"/>
  <c r="C55" i="16"/>
  <c r="C54" i="16"/>
  <c r="C48" i="16"/>
  <c r="C47" i="16"/>
  <c r="C46" i="16"/>
  <c r="C45" i="16"/>
  <c r="O33" i="16"/>
  <c r="C16" i="16"/>
  <c r="C15" i="16"/>
  <c r="C14" i="16"/>
  <c r="C13" i="16"/>
  <c r="C12" i="16"/>
  <c r="C11" i="16"/>
  <c r="C10" i="16"/>
  <c r="C9" i="16"/>
  <c r="C8" i="16"/>
  <c r="C7" i="16"/>
  <c r="L33" i="15"/>
  <c r="L34" i="15" s="1"/>
  <c r="F33" i="15"/>
  <c r="F3" i="15"/>
  <c r="F20" i="15" s="1"/>
  <c r="C57" i="15"/>
  <c r="C56" i="15"/>
  <c r="C55" i="15"/>
  <c r="C54" i="15"/>
  <c r="C48" i="15"/>
  <c r="C47" i="15"/>
  <c r="C46" i="15"/>
  <c r="C45" i="15"/>
  <c r="O33" i="15"/>
  <c r="C16" i="15"/>
  <c r="C15" i="15"/>
  <c r="C14" i="15"/>
  <c r="C13" i="15"/>
  <c r="C12" i="15"/>
  <c r="C11" i="15"/>
  <c r="C10" i="15"/>
  <c r="C9" i="15"/>
  <c r="C8" i="15"/>
  <c r="C7" i="15"/>
  <c r="L33" i="14"/>
  <c r="F33" i="14"/>
  <c r="F3" i="14"/>
  <c r="L33" i="13"/>
  <c r="L34" i="13" s="1"/>
  <c r="F33" i="13"/>
  <c r="F44" i="13" s="1"/>
  <c r="F3" i="13"/>
  <c r="F21" i="13" s="1"/>
  <c r="F22" i="13" s="1"/>
  <c r="L33" i="12"/>
  <c r="L34" i="12" s="1"/>
  <c r="F33" i="12"/>
  <c r="F44" i="12" s="1"/>
  <c r="F3" i="12"/>
  <c r="L33" i="11"/>
  <c r="L34" i="11" s="1"/>
  <c r="F33" i="11"/>
  <c r="F3" i="11"/>
  <c r="F21" i="11" s="1"/>
  <c r="F22" i="11" s="1"/>
  <c r="L33" i="10"/>
  <c r="L34" i="10" s="1"/>
  <c r="F33" i="10"/>
  <c r="F3" i="10"/>
  <c r="F21" i="10" s="1"/>
  <c r="F22" i="10" s="1"/>
  <c r="C57" i="14"/>
  <c r="C56" i="14"/>
  <c r="C55" i="14"/>
  <c r="C54" i="14"/>
  <c r="C48" i="14"/>
  <c r="C47" i="14"/>
  <c r="C46" i="14"/>
  <c r="C45" i="14"/>
  <c r="O33" i="14"/>
  <c r="L35" i="14"/>
  <c r="C16" i="14"/>
  <c r="C15" i="14"/>
  <c r="C14" i="14"/>
  <c r="C13" i="14"/>
  <c r="C12" i="14"/>
  <c r="C11" i="14"/>
  <c r="C10" i="14"/>
  <c r="C9" i="14"/>
  <c r="C8" i="14"/>
  <c r="C7" i="14"/>
  <c r="C57" i="13"/>
  <c r="C56" i="13"/>
  <c r="C55" i="13"/>
  <c r="C54" i="13"/>
  <c r="C48" i="13"/>
  <c r="C47" i="13"/>
  <c r="C46" i="13"/>
  <c r="C45" i="13"/>
  <c r="O33" i="13"/>
  <c r="C16" i="13"/>
  <c r="C15" i="13"/>
  <c r="C14" i="13"/>
  <c r="C13" i="13"/>
  <c r="C12" i="13"/>
  <c r="C11" i="13"/>
  <c r="C10" i="13"/>
  <c r="C9" i="13"/>
  <c r="C8" i="13"/>
  <c r="C7" i="13"/>
  <c r="C57" i="12"/>
  <c r="C56" i="12"/>
  <c r="C55" i="12"/>
  <c r="C54" i="12"/>
  <c r="C48" i="12"/>
  <c r="C47" i="12"/>
  <c r="C46" i="12"/>
  <c r="C45" i="12"/>
  <c r="O33" i="12"/>
  <c r="C16" i="12"/>
  <c r="C15" i="12"/>
  <c r="C14" i="12"/>
  <c r="C13" i="12"/>
  <c r="C12" i="12"/>
  <c r="C11" i="12"/>
  <c r="C10" i="12"/>
  <c r="C9" i="12"/>
  <c r="C8" i="12"/>
  <c r="C7" i="12"/>
  <c r="C57" i="11"/>
  <c r="C56" i="11"/>
  <c r="C55" i="11"/>
  <c r="C54" i="11"/>
  <c r="C48" i="11"/>
  <c r="C47" i="11"/>
  <c r="C46" i="11"/>
  <c r="C45" i="11"/>
  <c r="O33" i="11"/>
  <c r="C16" i="11"/>
  <c r="C15" i="11"/>
  <c r="C14" i="11"/>
  <c r="C13" i="11"/>
  <c r="C12" i="11"/>
  <c r="C11" i="11"/>
  <c r="C10" i="11"/>
  <c r="C9" i="11"/>
  <c r="C8" i="11"/>
  <c r="C7" i="11"/>
  <c r="C57" i="10"/>
  <c r="C56" i="10"/>
  <c r="C55" i="10"/>
  <c r="C54" i="10"/>
  <c r="C48" i="10"/>
  <c r="C47" i="10"/>
  <c r="C46" i="10"/>
  <c r="C45" i="10"/>
  <c r="O33" i="10"/>
  <c r="C16" i="10"/>
  <c r="C15" i="10"/>
  <c r="C14" i="10"/>
  <c r="C13" i="10"/>
  <c r="C12" i="10"/>
  <c r="C11" i="10"/>
  <c r="C10" i="10"/>
  <c r="C9" i="10"/>
  <c r="C8" i="10"/>
  <c r="C7" i="10"/>
  <c r="F44" i="16" l="1"/>
  <c r="F44" i="15"/>
  <c r="F44" i="11"/>
  <c r="F47" i="19"/>
  <c r="F46" i="19"/>
  <c r="F45" i="19"/>
  <c r="F44" i="19"/>
  <c r="F48" i="19"/>
  <c r="F57" i="19"/>
  <c r="F44" i="10"/>
  <c r="F53" i="18"/>
  <c r="F57" i="18"/>
  <c r="F55" i="18"/>
  <c r="F54" i="18"/>
  <c r="F56" i="18"/>
  <c r="F47" i="18"/>
  <c r="F57" i="17"/>
  <c r="F56" i="17"/>
  <c r="F55" i="17"/>
  <c r="F53" i="17"/>
  <c r="F54" i="17"/>
  <c r="F46" i="16"/>
  <c r="F45" i="16"/>
  <c r="F55" i="16"/>
  <c r="F48" i="16"/>
  <c r="F47" i="16"/>
  <c r="F46" i="15"/>
  <c r="F48" i="15"/>
  <c r="F53" i="15"/>
  <c r="F45" i="15"/>
  <c r="F47" i="15"/>
  <c r="F47" i="14"/>
  <c r="F57" i="14"/>
  <c r="F56" i="14"/>
  <c r="F55" i="14"/>
  <c r="F54" i="14"/>
  <c r="F53" i="14"/>
  <c r="F45" i="13"/>
  <c r="F48" i="13"/>
  <c r="F47" i="13"/>
  <c r="F46" i="13"/>
  <c r="F46" i="12"/>
  <c r="F48" i="12"/>
  <c r="F45" i="12"/>
  <c r="F47" i="12"/>
  <c r="F55" i="12"/>
  <c r="F54" i="12"/>
  <c r="F47" i="11"/>
  <c r="F46" i="11"/>
  <c r="F45" i="11"/>
  <c r="F48" i="11"/>
  <c r="F47" i="10"/>
  <c r="F46" i="10"/>
  <c r="F45" i="10"/>
  <c r="F48" i="10"/>
  <c r="F21" i="19"/>
  <c r="F22" i="19" s="1"/>
  <c r="F12" i="19"/>
  <c r="G12" i="19" s="1"/>
  <c r="F14" i="19"/>
  <c r="G14" i="19" s="1"/>
  <c r="F15" i="19"/>
  <c r="G15" i="19" s="1"/>
  <c r="F12" i="13"/>
  <c r="G12" i="13" s="1"/>
  <c r="F7" i="19"/>
  <c r="F13" i="19"/>
  <c r="G13" i="19" s="1"/>
  <c r="F8" i="19"/>
  <c r="G8" i="19" s="1"/>
  <c r="F9" i="19"/>
  <c r="G9" i="19" s="1"/>
  <c r="F16" i="19"/>
  <c r="G16" i="19" s="1"/>
  <c r="F12" i="18"/>
  <c r="G12" i="18" s="1"/>
  <c r="F6" i="17"/>
  <c r="F13" i="16"/>
  <c r="G13" i="16" s="1"/>
  <c r="F7" i="11"/>
  <c r="G7" i="11" s="1"/>
  <c r="F20" i="13"/>
  <c r="F7" i="13"/>
  <c r="G7" i="13" s="1"/>
  <c r="F8" i="13"/>
  <c r="G8" i="13" s="1"/>
  <c r="F11" i="13"/>
  <c r="G11" i="13" s="1"/>
  <c r="F7" i="16"/>
  <c r="G7" i="16" s="1"/>
  <c r="F15" i="16"/>
  <c r="G15" i="16" s="1"/>
  <c r="F9" i="16"/>
  <c r="G9" i="16" s="1"/>
  <c r="F16" i="16"/>
  <c r="G16" i="16" s="1"/>
  <c r="F20" i="16"/>
  <c r="F11" i="16"/>
  <c r="G11" i="16" s="1"/>
  <c r="F21" i="16"/>
  <c r="F22" i="16" s="1"/>
  <c r="F8" i="17"/>
  <c r="G8" i="17" s="1"/>
  <c r="F15" i="17"/>
  <c r="G15" i="17" s="1"/>
  <c r="F15" i="13"/>
  <c r="G15" i="13" s="1"/>
  <c r="F16" i="17"/>
  <c r="G16" i="17" s="1"/>
  <c r="F7" i="17"/>
  <c r="F16" i="11"/>
  <c r="G16" i="11" s="1"/>
  <c r="F11" i="11"/>
  <c r="G11" i="11" s="1"/>
  <c r="F16" i="13"/>
  <c r="G16" i="13" s="1"/>
  <c r="F21" i="17"/>
  <c r="F22" i="17" s="1"/>
  <c r="F11" i="17"/>
  <c r="G11" i="17" s="1"/>
  <c r="F12" i="17"/>
  <c r="G12" i="17" s="1"/>
  <c r="F16" i="12"/>
  <c r="G16" i="12" s="1"/>
  <c r="F16" i="14"/>
  <c r="G16" i="14" s="1"/>
  <c r="F8" i="15"/>
  <c r="G8" i="15" s="1"/>
  <c r="F14" i="16"/>
  <c r="G14" i="16" s="1"/>
  <c r="F12" i="16"/>
  <c r="G12" i="16" s="1"/>
  <c r="F8" i="18"/>
  <c r="G8" i="18" s="1"/>
  <c r="F21" i="15"/>
  <c r="F22" i="15" s="1"/>
  <c r="F12" i="11"/>
  <c r="G12" i="11" s="1"/>
  <c r="F11" i="15"/>
  <c r="G11" i="15" s="1"/>
  <c r="F8" i="16"/>
  <c r="G8" i="16" s="1"/>
  <c r="F14" i="15"/>
  <c r="G14" i="15" s="1"/>
  <c r="F12" i="15"/>
  <c r="G12" i="15" s="1"/>
  <c r="F15" i="15"/>
  <c r="G15" i="15" s="1"/>
  <c r="F8" i="11"/>
  <c r="G8" i="11" s="1"/>
  <c r="F15" i="11"/>
  <c r="G15" i="11" s="1"/>
  <c r="F6" i="12"/>
  <c r="F6" i="15"/>
  <c r="F9" i="15"/>
  <c r="G9" i="15" s="1"/>
  <c r="F16" i="15"/>
  <c r="G16" i="15" s="1"/>
  <c r="F20" i="11"/>
  <c r="F7" i="15"/>
  <c r="F13" i="15"/>
  <c r="G13" i="15" s="1"/>
  <c r="F8" i="14"/>
  <c r="G8" i="14" s="1"/>
  <c r="F15" i="14"/>
  <c r="G15" i="14" s="1"/>
  <c r="F12" i="14"/>
  <c r="G12" i="14" s="1"/>
  <c r="F11" i="14"/>
  <c r="G11" i="14" s="1"/>
  <c r="F21" i="14"/>
  <c r="F22" i="14" s="1"/>
  <c r="F20" i="14"/>
  <c r="F7" i="14"/>
  <c r="F21" i="12"/>
  <c r="F22" i="12" s="1"/>
  <c r="F7" i="18"/>
  <c r="F16" i="18"/>
  <c r="G16" i="18" s="1"/>
  <c r="F11" i="18"/>
  <c r="G11" i="18" s="1"/>
  <c r="F21" i="18"/>
  <c r="F22" i="18" s="1"/>
  <c r="F20" i="18"/>
  <c r="F15" i="18"/>
  <c r="G15" i="18" s="1"/>
  <c r="G7" i="19"/>
  <c r="L35" i="19"/>
  <c r="F54" i="19" s="1"/>
  <c r="F10" i="19"/>
  <c r="G10" i="19" s="1"/>
  <c r="F10" i="18"/>
  <c r="G10" i="18" s="1"/>
  <c r="F14" i="18"/>
  <c r="G14" i="18" s="1"/>
  <c r="L34" i="18"/>
  <c r="F48" i="18" s="1"/>
  <c r="F9" i="18"/>
  <c r="G9" i="18" s="1"/>
  <c r="F13" i="18"/>
  <c r="G13" i="18" s="1"/>
  <c r="F10" i="17"/>
  <c r="G10" i="17" s="1"/>
  <c r="F14" i="17"/>
  <c r="G14" i="17" s="1"/>
  <c r="L34" i="17"/>
  <c r="F44" i="17" s="1"/>
  <c r="F9" i="17"/>
  <c r="G9" i="17" s="1"/>
  <c r="F13" i="17"/>
  <c r="G13" i="17" s="1"/>
  <c r="L35" i="16"/>
  <c r="F56" i="16" s="1"/>
  <c r="F10" i="16"/>
  <c r="G10" i="16" s="1"/>
  <c r="L35" i="15"/>
  <c r="F57" i="15" s="1"/>
  <c r="F10" i="15"/>
  <c r="G10" i="15" s="1"/>
  <c r="F9" i="12"/>
  <c r="G9" i="12" s="1"/>
  <c r="F12" i="12"/>
  <c r="G12" i="12" s="1"/>
  <c r="F20" i="12"/>
  <c r="F8" i="12"/>
  <c r="G8" i="12" s="1"/>
  <c r="F8" i="10"/>
  <c r="G8" i="10" s="1"/>
  <c r="F15" i="10"/>
  <c r="G15" i="10" s="1"/>
  <c r="F20" i="10"/>
  <c r="F12" i="10"/>
  <c r="G12" i="10" s="1"/>
  <c r="F7" i="10"/>
  <c r="G7" i="10" s="1"/>
  <c r="F16" i="10"/>
  <c r="G16" i="10" s="1"/>
  <c r="F11" i="10"/>
  <c r="G11" i="10" s="1"/>
  <c r="F10" i="14"/>
  <c r="G10" i="14" s="1"/>
  <c r="F14" i="14"/>
  <c r="G14" i="14" s="1"/>
  <c r="L34" i="14"/>
  <c r="F46" i="14" s="1"/>
  <c r="F6" i="14"/>
  <c r="F9" i="14"/>
  <c r="G9" i="14" s="1"/>
  <c r="F13" i="14"/>
  <c r="G13" i="14" s="1"/>
  <c r="L35" i="13"/>
  <c r="F53" i="13" s="1"/>
  <c r="F10" i="13"/>
  <c r="G10" i="13" s="1"/>
  <c r="F14" i="13"/>
  <c r="G14" i="13" s="1"/>
  <c r="F6" i="13"/>
  <c r="F9" i="13"/>
  <c r="G9" i="13" s="1"/>
  <c r="F13" i="13"/>
  <c r="G13" i="13" s="1"/>
  <c r="F7" i="12"/>
  <c r="F11" i="12"/>
  <c r="G11" i="12" s="1"/>
  <c r="F15" i="12"/>
  <c r="G15" i="12" s="1"/>
  <c r="L35" i="12"/>
  <c r="F53" i="12" s="1"/>
  <c r="F10" i="12"/>
  <c r="G10" i="12" s="1"/>
  <c r="F14" i="12"/>
  <c r="G14" i="12" s="1"/>
  <c r="F13" i="12"/>
  <c r="G13" i="12" s="1"/>
  <c r="L35" i="11"/>
  <c r="F57" i="11" s="1"/>
  <c r="F10" i="11"/>
  <c r="G10" i="11" s="1"/>
  <c r="F14" i="11"/>
  <c r="G14" i="11" s="1"/>
  <c r="F6" i="11"/>
  <c r="F9" i="11"/>
  <c r="G9" i="11" s="1"/>
  <c r="F13" i="11"/>
  <c r="G13" i="11" s="1"/>
  <c r="L35" i="10"/>
  <c r="F56" i="10" s="1"/>
  <c r="F10" i="10"/>
  <c r="G10" i="10" s="1"/>
  <c r="F14" i="10"/>
  <c r="G14" i="10" s="1"/>
  <c r="F6" i="10"/>
  <c r="F9" i="10"/>
  <c r="G9" i="10" s="1"/>
  <c r="F13" i="10"/>
  <c r="G13" i="10" s="1"/>
  <c r="F54" i="11" l="1"/>
  <c r="F53" i="11"/>
  <c r="F55" i="11"/>
  <c r="F54" i="13"/>
  <c r="F48" i="14"/>
  <c r="F45" i="18"/>
  <c r="F56" i="19"/>
  <c r="F44" i="14"/>
  <c r="F57" i="13"/>
  <c r="F55" i="19"/>
  <c r="F56" i="11"/>
  <c r="F56" i="12"/>
  <c r="F54" i="15"/>
  <c r="F55" i="15"/>
  <c r="F57" i="16"/>
  <c r="F48" i="17"/>
  <c r="F53" i="19"/>
  <c r="F55" i="13"/>
  <c r="F46" i="17"/>
  <c r="F45" i="14"/>
  <c r="F53" i="16"/>
  <c r="F47" i="17"/>
  <c r="F44" i="18"/>
  <c r="F57" i="12"/>
  <c r="F56" i="13"/>
  <c r="F56" i="15"/>
  <c r="F54" i="16"/>
  <c r="F46" i="18"/>
  <c r="F45" i="17"/>
  <c r="F53" i="10"/>
  <c r="F54" i="10"/>
  <c r="F55" i="10"/>
  <c r="F57" i="10"/>
  <c r="G7" i="15"/>
  <c r="G17" i="15" s="1"/>
  <c r="G7" i="17"/>
  <c r="G7" i="14"/>
  <c r="G17" i="14" s="1"/>
  <c r="G7" i="18"/>
  <c r="G17" i="18" s="1"/>
  <c r="G17" i="19"/>
  <c r="G17" i="17"/>
  <c r="G17" i="16"/>
  <c r="G17" i="13"/>
  <c r="G7" i="12"/>
  <c r="G17" i="12" s="1"/>
  <c r="G17" i="11"/>
  <c r="H26" i="11" s="1"/>
  <c r="G17" i="10"/>
  <c r="H26" i="10" s="1"/>
  <c r="F23" i="19" l="1"/>
  <c r="F36" i="19"/>
  <c r="F37" i="19" s="1"/>
  <c r="F26" i="19"/>
  <c r="F26" i="18"/>
  <c r="F36" i="18"/>
  <c r="F37" i="18" s="1"/>
  <c r="F23" i="18"/>
  <c r="F26" i="17"/>
  <c r="F23" i="17"/>
  <c r="F36" i="17"/>
  <c r="F37" i="17" s="1"/>
  <c r="F23" i="16"/>
  <c r="F36" i="16"/>
  <c r="F37" i="16" s="1"/>
  <c r="F26" i="16"/>
  <c r="F23" i="15"/>
  <c r="F36" i="15"/>
  <c r="F37" i="15" s="1"/>
  <c r="F26" i="15"/>
  <c r="F26" i="14"/>
  <c r="F23" i="14"/>
  <c r="F36" i="14"/>
  <c r="F37" i="14" s="1"/>
  <c r="F26" i="13"/>
  <c r="F23" i="13"/>
  <c r="F36" i="13"/>
  <c r="F37" i="13" s="1"/>
  <c r="F26" i="12"/>
  <c r="F23" i="12"/>
  <c r="F36" i="12"/>
  <c r="F37" i="12" s="1"/>
  <c r="F26" i="11"/>
  <c r="F36" i="11"/>
  <c r="F37" i="11" s="1"/>
  <c r="F23" i="11"/>
  <c r="F26" i="10"/>
  <c r="F23" i="10"/>
  <c r="F36" i="10"/>
  <c r="F37" i="10" s="1"/>
  <c r="I57" i="19" l="1"/>
  <c r="I45" i="19"/>
  <c r="H47" i="19"/>
  <c r="G53" i="19"/>
  <c r="G46" i="19"/>
  <c r="I46" i="19"/>
  <c r="I56" i="19"/>
  <c r="I44" i="19"/>
  <c r="F59" i="19" s="1"/>
  <c r="F27" i="19" s="1"/>
  <c r="F28" i="19" s="1"/>
  <c r="F29" i="19" s="1"/>
  <c r="Y43" i="2" s="1"/>
  <c r="AC43" i="2" s="1"/>
  <c r="H46" i="19"/>
  <c r="G48" i="19"/>
  <c r="H44" i="19"/>
  <c r="H54" i="19"/>
  <c r="I47" i="19"/>
  <c r="G54" i="19"/>
  <c r="I55" i="19"/>
  <c r="H57" i="19"/>
  <c r="H45" i="19"/>
  <c r="G47" i="19"/>
  <c r="H55" i="19"/>
  <c r="G57" i="19"/>
  <c r="G56" i="19"/>
  <c r="H53" i="19"/>
  <c r="I54" i="19"/>
  <c r="H56" i="19"/>
  <c r="G45" i="19"/>
  <c r="G44" i="19"/>
  <c r="G55" i="19"/>
  <c r="H48" i="19"/>
  <c r="I53" i="19"/>
  <c r="I48" i="19"/>
  <c r="G44" i="10"/>
  <c r="H44" i="10"/>
  <c r="I44" i="10"/>
  <c r="G56" i="18"/>
  <c r="I46" i="18"/>
  <c r="G44" i="18"/>
  <c r="I55" i="18"/>
  <c r="H46" i="18"/>
  <c r="G55" i="18"/>
  <c r="G47" i="18"/>
  <c r="H55" i="18"/>
  <c r="G46" i="18"/>
  <c r="I45" i="18"/>
  <c r="I57" i="18"/>
  <c r="H57" i="18"/>
  <c r="I48" i="18"/>
  <c r="H45" i="18"/>
  <c r="H44" i="18"/>
  <c r="G57" i="18"/>
  <c r="H48" i="18"/>
  <c r="G45" i="18"/>
  <c r="I56" i="18"/>
  <c r="H47" i="18"/>
  <c r="I44" i="18"/>
  <c r="H56" i="18"/>
  <c r="I47" i="18"/>
  <c r="H54" i="18"/>
  <c r="I54" i="18"/>
  <c r="G48" i="18"/>
  <c r="H53" i="18"/>
  <c r="I53" i="18"/>
  <c r="G53" i="18"/>
  <c r="G54" i="18"/>
  <c r="G54" i="17"/>
  <c r="H47" i="17"/>
  <c r="G44" i="17"/>
  <c r="H44" i="17"/>
  <c r="I53" i="17"/>
  <c r="G47" i="17"/>
  <c r="I47" i="17"/>
  <c r="H53" i="17"/>
  <c r="I46" i="17"/>
  <c r="G57" i="17"/>
  <c r="G53" i="17"/>
  <c r="H46" i="17"/>
  <c r="H54" i="17"/>
  <c r="I56" i="17"/>
  <c r="I48" i="17"/>
  <c r="H45" i="17"/>
  <c r="H56" i="17"/>
  <c r="H48" i="17"/>
  <c r="G45" i="17"/>
  <c r="I54" i="17"/>
  <c r="G48" i="17"/>
  <c r="I44" i="17"/>
  <c r="G56" i="17"/>
  <c r="I57" i="17"/>
  <c r="G55" i="17"/>
  <c r="I45" i="17"/>
  <c r="G46" i="17"/>
  <c r="H55" i="17"/>
  <c r="I55" i="17"/>
  <c r="H57" i="17"/>
  <c r="H55" i="16"/>
  <c r="I48" i="16"/>
  <c r="H45" i="16"/>
  <c r="I45" i="16"/>
  <c r="I57" i="16"/>
  <c r="G55" i="16"/>
  <c r="H48" i="16"/>
  <c r="G45" i="16"/>
  <c r="I55" i="16"/>
  <c r="H57" i="16"/>
  <c r="I54" i="16"/>
  <c r="G48" i="16"/>
  <c r="I44" i="16"/>
  <c r="G57" i="16"/>
  <c r="H54" i="16"/>
  <c r="I47" i="16"/>
  <c r="H44" i="16"/>
  <c r="I56" i="16"/>
  <c r="G54" i="16"/>
  <c r="H47" i="16"/>
  <c r="G44" i="16"/>
  <c r="H56" i="16"/>
  <c r="I53" i="16"/>
  <c r="G47" i="16"/>
  <c r="H53" i="16"/>
  <c r="G56" i="16"/>
  <c r="G46" i="16"/>
  <c r="G53" i="16"/>
  <c r="I46" i="16"/>
  <c r="H46" i="16"/>
  <c r="I53" i="15"/>
  <c r="H46" i="15"/>
  <c r="I57" i="15"/>
  <c r="I48" i="15"/>
  <c r="G46" i="15"/>
  <c r="H57" i="15"/>
  <c r="H48" i="15"/>
  <c r="I45" i="15"/>
  <c r="G57" i="15"/>
  <c r="G48" i="15"/>
  <c r="H45" i="15"/>
  <c r="I56" i="15"/>
  <c r="I47" i="15"/>
  <c r="G45" i="15"/>
  <c r="H56" i="15"/>
  <c r="H47" i="15"/>
  <c r="G44" i="15"/>
  <c r="G56" i="15"/>
  <c r="G47" i="15"/>
  <c r="G54" i="15"/>
  <c r="I46" i="15"/>
  <c r="I44" i="15"/>
  <c r="G53" i="15"/>
  <c r="H44" i="15"/>
  <c r="H53" i="15"/>
  <c r="I54" i="15"/>
  <c r="I55" i="15"/>
  <c r="G55" i="15"/>
  <c r="H54" i="15"/>
  <c r="H55" i="15"/>
  <c r="I55" i="14"/>
  <c r="G53" i="14"/>
  <c r="I45" i="14"/>
  <c r="H47" i="14"/>
  <c r="H53" i="14"/>
  <c r="H55" i="14"/>
  <c r="I48" i="14"/>
  <c r="I44" i="14"/>
  <c r="G44" i="14"/>
  <c r="G55" i="14"/>
  <c r="H48" i="14"/>
  <c r="H44" i="14"/>
  <c r="I54" i="14"/>
  <c r="H54" i="14"/>
  <c r="G47" i="14"/>
  <c r="G56" i="14"/>
  <c r="G54" i="14"/>
  <c r="I46" i="14"/>
  <c r="H46" i="14"/>
  <c r="I53" i="14"/>
  <c r="G46" i="14"/>
  <c r="I47" i="14"/>
  <c r="G45" i="14"/>
  <c r="G48" i="14"/>
  <c r="H57" i="14"/>
  <c r="H56" i="14"/>
  <c r="I57" i="14"/>
  <c r="H45" i="14"/>
  <c r="I56" i="14"/>
  <c r="G57" i="14"/>
  <c r="G57" i="13"/>
  <c r="H54" i="13"/>
  <c r="I45" i="13"/>
  <c r="H57" i="13"/>
  <c r="I56" i="13"/>
  <c r="G54" i="13"/>
  <c r="H45" i="13"/>
  <c r="I47" i="13"/>
  <c r="H56" i="13"/>
  <c r="G48" i="13"/>
  <c r="G45" i="13"/>
  <c r="I44" i="13"/>
  <c r="G56" i="13"/>
  <c r="I55" i="13"/>
  <c r="H47" i="13"/>
  <c r="H44" i="13"/>
  <c r="H55" i="13"/>
  <c r="G47" i="13"/>
  <c r="G44" i="13"/>
  <c r="I54" i="13"/>
  <c r="I57" i="13"/>
  <c r="G55" i="13"/>
  <c r="I46" i="13"/>
  <c r="H46" i="13"/>
  <c r="G46" i="13"/>
  <c r="G53" i="13"/>
  <c r="I53" i="13"/>
  <c r="H48" i="13"/>
  <c r="H53" i="13"/>
  <c r="I48" i="13"/>
  <c r="I56" i="12"/>
  <c r="G48" i="12"/>
  <c r="I44" i="12"/>
  <c r="H56" i="12"/>
  <c r="I47" i="12"/>
  <c r="H44" i="12"/>
  <c r="G47" i="12"/>
  <c r="G54" i="12"/>
  <c r="H47" i="12"/>
  <c r="I53" i="12"/>
  <c r="H53" i="12"/>
  <c r="G46" i="12"/>
  <c r="G57" i="12"/>
  <c r="G45" i="12"/>
  <c r="I57" i="12"/>
  <c r="G53" i="12"/>
  <c r="I45" i="12"/>
  <c r="H48" i="12"/>
  <c r="H57" i="12"/>
  <c r="I48" i="12"/>
  <c r="H45" i="12"/>
  <c r="G44" i="12"/>
  <c r="I46" i="12"/>
  <c r="G55" i="12"/>
  <c r="I54" i="12"/>
  <c r="I55" i="12"/>
  <c r="G56" i="12"/>
  <c r="H46" i="12"/>
  <c r="H54" i="12"/>
  <c r="H55" i="12"/>
  <c r="I55" i="11"/>
  <c r="G53" i="11"/>
  <c r="H45" i="11"/>
  <c r="H55" i="11"/>
  <c r="I48" i="11"/>
  <c r="G44" i="11"/>
  <c r="G55" i="11"/>
  <c r="H48" i="11"/>
  <c r="I54" i="11"/>
  <c r="G48" i="11"/>
  <c r="H54" i="11"/>
  <c r="I47" i="11"/>
  <c r="I56" i="11"/>
  <c r="G54" i="11"/>
  <c r="I46" i="11"/>
  <c r="H56" i="11"/>
  <c r="I53" i="11"/>
  <c r="H46" i="11"/>
  <c r="G46" i="11"/>
  <c r="G56" i="11"/>
  <c r="H53" i="11"/>
  <c r="I44" i="11"/>
  <c r="I57" i="11"/>
  <c r="H57" i="11"/>
  <c r="I45" i="11"/>
  <c r="H47" i="11"/>
  <c r="H44" i="11"/>
  <c r="G45" i="11"/>
  <c r="G57" i="11"/>
  <c r="G47" i="11"/>
  <c r="H57" i="10"/>
  <c r="G48" i="10"/>
  <c r="G57" i="10"/>
  <c r="I47" i="10"/>
  <c r="H54" i="10"/>
  <c r="H47" i="10"/>
  <c r="G47" i="10"/>
  <c r="I53" i="10"/>
  <c r="I57" i="10"/>
  <c r="H53" i="10"/>
  <c r="G46" i="10"/>
  <c r="H45" i="10"/>
  <c r="G53" i="10"/>
  <c r="I45" i="10"/>
  <c r="H48" i="10"/>
  <c r="I48" i="10"/>
  <c r="G45" i="10"/>
  <c r="I56" i="10"/>
  <c r="G55" i="10"/>
  <c r="I54" i="10"/>
  <c r="G56" i="10"/>
  <c r="H46" i="10"/>
  <c r="H56" i="10"/>
  <c r="I55" i="10"/>
  <c r="H55" i="10"/>
  <c r="G54" i="10"/>
  <c r="I46" i="10"/>
  <c r="F59" i="12" l="1"/>
  <c r="F27" i="12" s="1"/>
  <c r="F28" i="12" s="1"/>
  <c r="F29" i="12" s="1"/>
  <c r="Y27" i="2" s="1"/>
  <c r="AC27" i="2" s="1"/>
  <c r="F59" i="15"/>
  <c r="F27" i="15" s="1"/>
  <c r="F28" i="15" s="1"/>
  <c r="F29" i="15" s="1"/>
  <c r="Y30" i="2" s="1"/>
  <c r="AC30" i="2" s="1"/>
  <c r="F59" i="11"/>
  <c r="F27" i="11" s="1"/>
  <c r="F28" i="11" s="1"/>
  <c r="F29" i="11" s="1"/>
  <c r="Y26" i="2" s="1"/>
  <c r="AC26" i="2" s="1"/>
  <c r="F59" i="16"/>
  <c r="F27" i="16" s="1"/>
  <c r="F28" i="16" s="1"/>
  <c r="F29" i="16" s="1"/>
  <c r="Y35" i="2" s="1"/>
  <c r="AC35" i="2" s="1"/>
  <c r="F59" i="18"/>
  <c r="F27" i="18" s="1"/>
  <c r="F28" i="18" s="1"/>
  <c r="F29" i="18" s="1"/>
  <c r="Y42" i="2" s="1"/>
  <c r="AC42" i="2" s="1"/>
  <c r="F59" i="13"/>
  <c r="F27" i="13" s="1"/>
  <c r="F28" i="13" s="1"/>
  <c r="F29" i="13" s="1"/>
  <c r="Y28" i="2" s="1"/>
  <c r="AC28" i="2" s="1"/>
  <c r="F59" i="10"/>
  <c r="F27" i="10" s="1"/>
  <c r="F28" i="10" s="1"/>
  <c r="F29" i="10" s="1"/>
  <c r="Y25" i="2" s="1"/>
  <c r="AC25" i="2" s="1"/>
  <c r="F59" i="14"/>
  <c r="AG29" i="2" s="1"/>
  <c r="AS29" i="2" s="1"/>
  <c r="F59" i="17"/>
  <c r="F27" i="17" s="1"/>
  <c r="F28" i="17" s="1"/>
  <c r="F29" i="17" s="1"/>
  <c r="Y41" i="2" s="1"/>
  <c r="AG43" i="2"/>
  <c r="AS43" i="2" s="1"/>
  <c r="AG27" i="2"/>
  <c r="AS27" i="2" s="1"/>
  <c r="AG30" i="2"/>
  <c r="AS30" i="2" s="1"/>
  <c r="AG35" i="2" l="1"/>
  <c r="AS35" i="2" s="1"/>
  <c r="F27" i="14"/>
  <c r="F28" i="14" s="1"/>
  <c r="F29" i="14" s="1"/>
  <c r="Y29" i="2" s="1"/>
  <c r="AC29" i="2" s="1"/>
  <c r="AG26" i="2"/>
  <c r="AS26" i="2" s="1"/>
  <c r="H27" i="11" s="1"/>
  <c r="H28" i="11" s="1"/>
  <c r="H29" i="11" s="1"/>
  <c r="AW26" i="2" s="1"/>
  <c r="BA26" i="2" s="1"/>
  <c r="AG25" i="2"/>
  <c r="AS25" i="2" s="1"/>
  <c r="H27" i="10" s="1"/>
  <c r="H28" i="10" s="1"/>
  <c r="H29" i="10" s="1"/>
  <c r="AW25" i="2" s="1"/>
  <c r="BA25" i="2" s="1"/>
  <c r="AG42" i="2"/>
  <c r="AS42" i="2" s="1"/>
  <c r="AG41" i="2"/>
  <c r="AS41" i="2" s="1"/>
  <c r="AG28" i="2"/>
  <c r="AS28" i="2" s="1"/>
  <c r="F35" i="3"/>
  <c r="H27" i="16" l="1"/>
  <c r="H28" i="16" s="1"/>
  <c r="H29" i="16" s="1"/>
  <c r="AW35" i="2" s="1"/>
  <c r="BA35" i="2" s="1"/>
  <c r="AK24" i="2"/>
  <c r="L33" i="3"/>
  <c r="L34" i="3" s="1"/>
  <c r="F33" i="3"/>
  <c r="F3" i="3"/>
  <c r="C57" i="3"/>
  <c r="C56" i="3"/>
  <c r="C55" i="3"/>
  <c r="C54" i="3"/>
  <c r="C48" i="3"/>
  <c r="C47" i="3"/>
  <c r="C46" i="3"/>
  <c r="C45" i="3"/>
  <c r="O33" i="3"/>
  <c r="C50" i="3" s="1"/>
  <c r="C16" i="3"/>
  <c r="C15" i="3"/>
  <c r="C14" i="3"/>
  <c r="C13" i="3"/>
  <c r="C12" i="3"/>
  <c r="C11" i="3"/>
  <c r="C10" i="3"/>
  <c r="C9" i="3"/>
  <c r="C8" i="3"/>
  <c r="C7" i="3"/>
  <c r="F48" i="3" l="1"/>
  <c r="F44" i="3"/>
  <c r="F6" i="3"/>
  <c r="F16" i="3"/>
  <c r="F7" i="3"/>
  <c r="G7" i="3" s="1"/>
  <c r="F45" i="3"/>
  <c r="F47" i="3"/>
  <c r="F46" i="3"/>
  <c r="F14" i="3"/>
  <c r="G14" i="3" s="1"/>
  <c r="F13" i="3"/>
  <c r="G13" i="3" s="1"/>
  <c r="F12" i="3"/>
  <c r="G12" i="3" s="1"/>
  <c r="F11" i="3"/>
  <c r="G11" i="3" s="1"/>
  <c r="F10" i="3"/>
  <c r="G10" i="3" s="1"/>
  <c r="F9" i="3"/>
  <c r="G9" i="3" s="1"/>
  <c r="G16" i="3"/>
  <c r="F8" i="3"/>
  <c r="G8" i="3" s="1"/>
  <c r="F15" i="3"/>
  <c r="G15" i="3" s="1"/>
  <c r="C50" i="11"/>
  <c r="C50" i="19"/>
  <c r="C50" i="18"/>
  <c r="C50" i="12"/>
  <c r="C50" i="10"/>
  <c r="C50" i="13"/>
  <c r="C50" i="14"/>
  <c r="C50" i="15"/>
  <c r="C50" i="16"/>
  <c r="C50" i="17"/>
  <c r="L35" i="3"/>
  <c r="F54" i="3" s="1"/>
  <c r="F20" i="3"/>
  <c r="F21" i="3"/>
  <c r="F22" i="3" s="1"/>
  <c r="F55" i="3" l="1"/>
  <c r="F56" i="3"/>
  <c r="F57" i="3"/>
  <c r="F53" i="3"/>
  <c r="G17" i="3"/>
  <c r="F36" i="3" l="1"/>
  <c r="F37" i="3" s="1"/>
  <c r="H26" i="3"/>
  <c r="F26" i="3"/>
  <c r="F23" i="3"/>
  <c r="G57" i="3"/>
  <c r="G55" i="3"/>
  <c r="G53" i="3"/>
  <c r="G47" i="3"/>
  <c r="I54" i="3"/>
  <c r="I45" i="3"/>
  <c r="I56" i="3"/>
  <c r="I48" i="3"/>
  <c r="I46" i="3"/>
  <c r="H48" i="3"/>
  <c r="G48" i="3"/>
  <c r="G45" i="3"/>
  <c r="H56" i="3"/>
  <c r="H54" i="3"/>
  <c r="H46" i="3"/>
  <c r="H45" i="3"/>
  <c r="G56" i="3"/>
  <c r="G54" i="3"/>
  <c r="G46" i="3"/>
  <c r="I53" i="3"/>
  <c r="I57" i="3"/>
  <c r="I55" i="3"/>
  <c r="I47" i="3"/>
  <c r="H57" i="3"/>
  <c r="H55" i="3"/>
  <c r="H53" i="3"/>
  <c r="H47" i="3"/>
  <c r="H44" i="3"/>
  <c r="G44" i="3"/>
  <c r="I44" i="3"/>
  <c r="F59" i="3" l="1"/>
  <c r="F27" i="3" s="1"/>
  <c r="AB6" i="1"/>
  <c r="AK43" i="2"/>
  <c r="AK42" i="2"/>
  <c r="AK41" i="2"/>
  <c r="AK30" i="2"/>
  <c r="AK29" i="2"/>
  <c r="AK28" i="2"/>
  <c r="AK27" i="2"/>
  <c r="AK26" i="2"/>
  <c r="AK25" i="2"/>
  <c r="D11" i="1"/>
  <c r="D12" i="1"/>
  <c r="D13" i="1"/>
  <c r="D14" i="1"/>
  <c r="D15" i="1"/>
  <c r="D49" i="1" s="1"/>
  <c r="D16" i="1"/>
  <c r="D17" i="1"/>
  <c r="O44" i="2"/>
  <c r="O36" i="2"/>
  <c r="O31" i="2"/>
  <c r="D44" i="2"/>
  <c r="AG24" i="2" l="1"/>
  <c r="AS24" i="2" s="1"/>
  <c r="F28" i="3"/>
  <c r="A49" i="1"/>
  <c r="D34" i="1"/>
  <c r="A34" i="1" s="1"/>
  <c r="D47" i="1"/>
  <c r="D50" i="1"/>
  <c r="AO30" i="2"/>
  <c r="AO17" i="1" s="1"/>
  <c r="I17" i="1" s="1"/>
  <c r="I34" i="1" s="1"/>
  <c r="AO26" i="2"/>
  <c r="AO13" i="1" s="1"/>
  <c r="I13" i="1" s="1"/>
  <c r="I30" i="1" s="1"/>
  <c r="D46" i="1"/>
  <c r="AO25" i="2"/>
  <c r="AO12" i="1" s="1"/>
  <c r="I12" i="1" s="1"/>
  <c r="I29" i="1" s="1"/>
  <c r="D45" i="1"/>
  <c r="D30" i="1"/>
  <c r="D29" i="1"/>
  <c r="AO28" i="2"/>
  <c r="AO15" i="1" s="1"/>
  <c r="I15" i="1" s="1"/>
  <c r="I32" i="1" s="1"/>
  <c r="AO29" i="2"/>
  <c r="AO27" i="2"/>
  <c r="AO14" i="1" s="1"/>
  <c r="I14" i="1" s="1"/>
  <c r="I48" i="1" s="1"/>
  <c r="D51" i="1"/>
  <c r="D33" i="1"/>
  <c r="D32" i="1"/>
  <c r="E15" i="1"/>
  <c r="E49" i="1" s="1"/>
  <c r="D31" i="1"/>
  <c r="D48" i="1"/>
  <c r="AB4" i="1"/>
  <c r="D28" i="1"/>
  <c r="H27" i="3" l="1"/>
  <c r="H28" i="3" s="1"/>
  <c r="H29" i="3" s="1"/>
  <c r="AW24" i="2" s="1"/>
  <c r="BA24" i="2" s="1"/>
  <c r="BA45" i="2" s="1"/>
  <c r="F29" i="3"/>
  <c r="Y24" i="2" s="1"/>
  <c r="AC24" i="2" s="1"/>
  <c r="AO24" i="2" s="1"/>
  <c r="E14" i="1"/>
  <c r="E48" i="1" s="1"/>
  <c r="E17" i="1"/>
  <c r="E51" i="1" s="1"/>
  <c r="E34" i="1"/>
  <c r="L34" i="1" s="1"/>
  <c r="A50" i="1"/>
  <c r="A47" i="1"/>
  <c r="A29" i="1"/>
  <c r="E13" i="1"/>
  <c r="E47" i="1" s="1"/>
  <c r="E12" i="1"/>
  <c r="L12" i="1" s="1"/>
  <c r="P12" i="1" s="1"/>
  <c r="I51" i="1"/>
  <c r="I47" i="1"/>
  <c r="I46" i="1"/>
  <c r="A46" i="1"/>
  <c r="I31" i="1"/>
  <c r="I49" i="1"/>
  <c r="L15" i="1"/>
  <c r="L49" i="1" s="1"/>
  <c r="P49" i="1" s="1"/>
  <c r="A45" i="1"/>
  <c r="A30" i="1"/>
  <c r="AO16" i="1"/>
  <c r="I16" i="1" s="1"/>
  <c r="E16" i="1"/>
  <c r="A51" i="1"/>
  <c r="A33" i="1"/>
  <c r="A32" i="1"/>
  <c r="E32" i="1"/>
  <c r="L32" i="1" s="1"/>
  <c r="A48" i="1"/>
  <c r="A31" i="1"/>
  <c r="A28" i="1"/>
  <c r="E11" i="1" l="1"/>
  <c r="E28" i="1" s="1"/>
  <c r="AO11" i="1"/>
  <c r="I11" i="1" s="1"/>
  <c r="I45" i="1" s="1"/>
  <c r="L17" i="1"/>
  <c r="L51" i="1" s="1"/>
  <c r="P51" i="1" s="1"/>
  <c r="E31" i="1"/>
  <c r="L31" i="1" s="1"/>
  <c r="P31" i="1" s="1"/>
  <c r="L14" i="1"/>
  <c r="P14" i="1" s="1"/>
  <c r="AG4" i="1"/>
  <c r="E46" i="1"/>
  <c r="T46" i="1"/>
  <c r="E30" i="1"/>
  <c r="L30" i="1" s="1"/>
  <c r="P30" i="1" s="1"/>
  <c r="P34" i="1"/>
  <c r="P17" i="1"/>
  <c r="P32" i="1"/>
  <c r="P15" i="1"/>
  <c r="L48" i="1"/>
  <c r="P48" i="1" s="1"/>
  <c r="L13" i="1"/>
  <c r="L46" i="1"/>
  <c r="P46" i="1" s="1"/>
  <c r="E29" i="1"/>
  <c r="L29" i="1" s="1"/>
  <c r="P29" i="1" s="1"/>
  <c r="E33" i="1"/>
  <c r="E50" i="1"/>
  <c r="L16" i="1"/>
  <c r="P16" i="1" s="1"/>
  <c r="I33" i="1"/>
  <c r="I50" i="1"/>
  <c r="A50" i="2"/>
  <c r="L11" i="1"/>
  <c r="P11" i="1" s="1"/>
  <c r="E45" i="1"/>
  <c r="I28" i="1"/>
  <c r="X4" i="1" l="1"/>
  <c r="T13" i="1"/>
  <c r="L28" i="1"/>
  <c r="P28" i="1" s="1"/>
  <c r="X11" i="1"/>
  <c r="T29" i="1"/>
  <c r="T33" i="1"/>
  <c r="T30" i="1"/>
  <c r="AB30" i="1" s="1"/>
  <c r="T47" i="1"/>
  <c r="X45" i="1"/>
  <c r="T34" i="1"/>
  <c r="AB34" i="1" s="1"/>
  <c r="T16" i="1"/>
  <c r="AB16" i="1" s="1"/>
  <c r="T15" i="1"/>
  <c r="AB15" i="1" s="1"/>
  <c r="T32" i="1"/>
  <c r="T12" i="1"/>
  <c r="AB12" i="1" s="1"/>
  <c r="T48" i="1"/>
  <c r="AB48" i="1" s="1"/>
  <c r="T31" i="1"/>
  <c r="AB31" i="1" s="1"/>
  <c r="T14" i="1"/>
  <c r="AB14" i="1" s="1"/>
  <c r="X28" i="1"/>
  <c r="T28" i="1"/>
  <c r="T11" i="1"/>
  <c r="T50" i="1"/>
  <c r="T51" i="1"/>
  <c r="AB51" i="1" s="1"/>
  <c r="T17" i="1"/>
  <c r="AB17" i="1" s="1"/>
  <c r="X6" i="1"/>
  <c r="T49" i="1"/>
  <c r="AB49" i="1" s="1"/>
  <c r="T45" i="1"/>
  <c r="X5" i="1"/>
  <c r="X7" i="1"/>
  <c r="AB46" i="1"/>
  <c r="AB32" i="1"/>
  <c r="P13" i="1"/>
  <c r="AB13" i="1" s="1"/>
  <c r="L47" i="1"/>
  <c r="P47" i="1" s="1"/>
  <c r="AB29" i="1"/>
  <c r="L33" i="1"/>
  <c r="L50" i="1"/>
  <c r="L45" i="1"/>
  <c r="AB11" i="1" l="1"/>
  <c r="AB18" i="1" s="1"/>
  <c r="U57" i="1" s="1"/>
  <c r="AB28" i="1"/>
  <c r="AB47" i="1"/>
  <c r="P50" i="1"/>
  <c r="AB50" i="1" s="1"/>
  <c r="P45" i="1"/>
  <c r="AB45" i="1" s="1"/>
  <c r="P33" i="1"/>
  <c r="AB33" i="1" s="1"/>
  <c r="AB35" i="1" l="1"/>
  <c r="U58" i="1" s="1"/>
  <c r="AB52" i="1"/>
  <c r="U59" i="1" s="1"/>
  <c r="U60" i="1" l="1"/>
  <c r="AA56" i="1"/>
  <c r="B57" i="2" s="1"/>
</calcChain>
</file>

<file path=xl/sharedStrings.xml><?xml version="1.0" encoding="utf-8"?>
<sst xmlns="http://schemas.openxmlformats.org/spreadsheetml/2006/main" count="1294" uniqueCount="181">
  <si>
    <t>国民健康保険税計算方法</t>
    <rPh sb="0" eb="2">
      <t>コクミン</t>
    </rPh>
    <rPh sb="2" eb="4">
      <t>ケンコウ</t>
    </rPh>
    <rPh sb="4" eb="6">
      <t>ホケン</t>
    </rPh>
    <rPh sb="6" eb="7">
      <t>ゼイ</t>
    </rPh>
    <rPh sb="7" eb="9">
      <t>ケイサン</t>
    </rPh>
    <rPh sb="9" eb="11">
      <t>ホウホウ</t>
    </rPh>
    <phoneticPr fontId="3"/>
  </si>
  <si>
    <t>氏　名</t>
    <rPh sb="0" eb="1">
      <t>シ</t>
    </rPh>
    <rPh sb="2" eb="3">
      <t>メイ</t>
    </rPh>
    <phoneticPr fontId="3"/>
  </si>
  <si>
    <t>年齢</t>
    <rPh sb="0" eb="2">
      <t>ネンレイ</t>
    </rPh>
    <phoneticPr fontId="3"/>
  </si>
  <si>
    <t>課税総所得金額</t>
    <rPh sb="0" eb="2">
      <t>カゼイ</t>
    </rPh>
    <rPh sb="2" eb="3">
      <t>ソウ</t>
    </rPh>
    <rPh sb="3" eb="4">
      <t>ショ</t>
    </rPh>
    <rPh sb="4" eb="5">
      <t>トク</t>
    </rPh>
    <rPh sb="5" eb="7">
      <t>キンガク</t>
    </rPh>
    <phoneticPr fontId="3"/>
  </si>
  <si>
    <t>控除額</t>
    <rPh sb="0" eb="2">
      <t>コウジョ</t>
    </rPh>
    <rPh sb="2" eb="3">
      <t>ガク</t>
    </rPh>
    <phoneticPr fontId="3"/>
  </si>
  <si>
    <t>　</t>
    <phoneticPr fontId="3"/>
  </si>
  <si>
    <t>課税所得</t>
    <rPh sb="0" eb="2">
      <t>カゼイ</t>
    </rPh>
    <rPh sb="2" eb="3">
      <t>ショ</t>
    </rPh>
    <rPh sb="3" eb="4">
      <t>トク</t>
    </rPh>
    <phoneticPr fontId="3"/>
  </si>
  <si>
    <t>所得割</t>
    <rPh sb="0" eb="1">
      <t>ショ</t>
    </rPh>
    <rPh sb="1" eb="2">
      <t>トク</t>
    </rPh>
    <rPh sb="2" eb="3">
      <t>ワリ</t>
    </rPh>
    <phoneticPr fontId="3"/>
  </si>
  <si>
    <t>資産割</t>
    <rPh sb="0" eb="2">
      <t>シサン</t>
    </rPh>
    <rPh sb="2" eb="3">
      <t>ワリ</t>
    </rPh>
    <phoneticPr fontId="3"/>
  </si>
  <si>
    <t>均等割</t>
    <rPh sb="0" eb="2">
      <t>キントウ</t>
    </rPh>
    <rPh sb="2" eb="3">
      <t>ワリ</t>
    </rPh>
    <phoneticPr fontId="3"/>
  </si>
  <si>
    <t>平等割</t>
    <rPh sb="0" eb="2">
      <t>ビョウドウ</t>
    </rPh>
    <rPh sb="2" eb="3">
      <t>ワリ</t>
    </rPh>
    <phoneticPr fontId="3"/>
  </si>
  <si>
    <t>合　計</t>
    <rPh sb="0" eb="1">
      <t>ゴウ</t>
    </rPh>
    <rPh sb="2" eb="3">
      <t>ケイ</t>
    </rPh>
    <phoneticPr fontId="3"/>
  </si>
  <si>
    <t>均等割</t>
    <rPh sb="0" eb="3">
      <t>キントウワ</t>
    </rPh>
    <phoneticPr fontId="3"/>
  </si>
  <si>
    <t>最高限度額</t>
    <rPh sb="0" eb="2">
      <t>サイコウ</t>
    </rPh>
    <rPh sb="2" eb="4">
      <t>ゲンド</t>
    </rPh>
    <rPh sb="4" eb="5">
      <t>ガク</t>
    </rPh>
    <phoneticPr fontId="3"/>
  </si>
  <si>
    <t>４０才～６４才までの方</t>
    <rPh sb="2" eb="3">
      <t>サイ</t>
    </rPh>
    <rPh sb="6" eb="7">
      <t>サイ</t>
    </rPh>
    <rPh sb="10" eb="11">
      <t>カタ</t>
    </rPh>
    <phoneticPr fontId="3"/>
  </si>
  <si>
    <t>総　合　計</t>
    <rPh sb="0" eb="1">
      <t>ソウ</t>
    </rPh>
    <rPh sb="2" eb="3">
      <t>ゴウ</t>
    </rPh>
    <rPh sb="4" eb="5">
      <t>ケイ</t>
    </rPh>
    <phoneticPr fontId="3"/>
  </si>
  <si>
    <t>合　　計</t>
    <rPh sb="0" eb="1">
      <t>ゴウ</t>
    </rPh>
    <rPh sb="3" eb="4">
      <t>ケイ</t>
    </rPh>
    <phoneticPr fontId="3"/>
  </si>
  <si>
    <t>《軽減の有無》</t>
    <rPh sb="1" eb="3">
      <t>ケイゲン</t>
    </rPh>
    <rPh sb="4" eb="6">
      <t>ウム</t>
    </rPh>
    <phoneticPr fontId="3"/>
  </si>
  <si>
    <t xml:space="preserve"> </t>
    <phoneticPr fontId="3"/>
  </si>
  <si>
    <t>７割軽減</t>
    <rPh sb="1" eb="2">
      <t>ワリ</t>
    </rPh>
    <rPh sb="2" eb="4">
      <t>ケイゲン</t>
    </rPh>
    <phoneticPr fontId="3"/>
  </si>
  <si>
    <t>５割軽減</t>
    <rPh sb="1" eb="2">
      <t>ワリ</t>
    </rPh>
    <rPh sb="2" eb="4">
      <t>ケイゲン</t>
    </rPh>
    <phoneticPr fontId="3"/>
  </si>
  <si>
    <t>２割軽減</t>
    <rPh sb="1" eb="2">
      <t>ワリ</t>
    </rPh>
    <rPh sb="2" eb="4">
      <t>ケイゲン</t>
    </rPh>
    <phoneticPr fontId="3"/>
  </si>
  <si>
    <t>軽減無し</t>
    <rPh sb="0" eb="2">
      <t>ケイゲン</t>
    </rPh>
    <rPh sb="2" eb="3">
      <t>ナ</t>
    </rPh>
    <phoneticPr fontId="3"/>
  </si>
  <si>
    <t>ヶ月分</t>
    <rPh sb="1" eb="2">
      <t>ガツ</t>
    </rPh>
    <rPh sb="2" eb="3">
      <t>ブン</t>
    </rPh>
    <phoneticPr fontId="3"/>
  </si>
  <si>
    <t>円</t>
    <rPh sb="0" eb="1">
      <t>エン</t>
    </rPh>
    <phoneticPr fontId="3"/>
  </si>
  <si>
    <t>医療分</t>
    <rPh sb="0" eb="2">
      <t>イリョウ</t>
    </rPh>
    <rPh sb="2" eb="3">
      <t>ブン</t>
    </rPh>
    <phoneticPr fontId="3"/>
  </si>
  <si>
    <t>介護分</t>
    <rPh sb="0" eb="2">
      <t>カイゴ</t>
    </rPh>
    <rPh sb="2" eb="3">
      <t>ブン</t>
    </rPh>
    <phoneticPr fontId="3"/>
  </si>
  <si>
    <t>医療保険分</t>
    <rPh sb="0" eb="2">
      <t>イリョウ</t>
    </rPh>
    <rPh sb="2" eb="4">
      <t>ホケン</t>
    </rPh>
    <rPh sb="4" eb="5">
      <t>ブン</t>
    </rPh>
    <phoneticPr fontId="3"/>
  </si>
  <si>
    <t>支援分</t>
    <rPh sb="0" eb="2">
      <t>シエン</t>
    </rPh>
    <rPh sb="2" eb="3">
      <t>ブン</t>
    </rPh>
    <phoneticPr fontId="3"/>
  </si>
  <si>
    <t>※百円未満切捨て</t>
    <rPh sb="1" eb="3">
      <t>ヒャクエン</t>
    </rPh>
    <rPh sb="3" eb="5">
      <t>ミマン</t>
    </rPh>
    <rPh sb="5" eb="7">
      <t>キリス</t>
    </rPh>
    <phoneticPr fontId="3"/>
  </si>
  <si>
    <t>給与収入</t>
    <rPh sb="0" eb="2">
      <t>キュウヨ</t>
    </rPh>
    <rPh sb="2" eb="4">
      <t>シュウニュウ</t>
    </rPh>
    <phoneticPr fontId="3"/>
  </si>
  <si>
    <t>営業その他の所得</t>
    <rPh sb="0" eb="2">
      <t>エイギョウ</t>
    </rPh>
    <rPh sb="4" eb="5">
      <t>タ</t>
    </rPh>
    <rPh sb="6" eb="8">
      <t>ショトク</t>
    </rPh>
    <phoneticPr fontId="3"/>
  </si>
  <si>
    <t>世帯員１</t>
    <rPh sb="0" eb="3">
      <t>セタイイン</t>
    </rPh>
    <phoneticPr fontId="3"/>
  </si>
  <si>
    <t>歳</t>
    <rPh sb="0" eb="1">
      <t>サイ</t>
    </rPh>
    <phoneticPr fontId="3"/>
  </si>
  <si>
    <t>世帯員２</t>
    <rPh sb="0" eb="3">
      <t>セタイイン</t>
    </rPh>
    <phoneticPr fontId="3"/>
  </si>
  <si>
    <t>世帯員３</t>
    <rPh sb="0" eb="3">
      <t>セタイイン</t>
    </rPh>
    <phoneticPr fontId="3"/>
  </si>
  <si>
    <t>世帯員４</t>
    <rPh sb="0" eb="3">
      <t>セタイイン</t>
    </rPh>
    <phoneticPr fontId="3"/>
  </si>
  <si>
    <t>給与所得</t>
    <rPh sb="0" eb="2">
      <t>キュウヨ</t>
    </rPh>
    <rPh sb="2" eb="4">
      <t>ショトク</t>
    </rPh>
    <phoneticPr fontId="3"/>
  </si>
  <si>
    <t>年金所得</t>
    <rPh sb="0" eb="2">
      <t>ネンキン</t>
    </rPh>
    <rPh sb="2" eb="4">
      <t>ショトク</t>
    </rPh>
    <phoneticPr fontId="3"/>
  </si>
  <si>
    <t>総所得</t>
    <rPh sb="0" eb="3">
      <t>ソウショトク</t>
    </rPh>
    <phoneticPr fontId="3"/>
  </si>
  <si>
    <t>世帯主</t>
    <rPh sb="0" eb="3">
      <t>セタイヌシ</t>
    </rPh>
    <phoneticPr fontId="3"/>
  </si>
  <si>
    <t>旧国保１</t>
    <rPh sb="0" eb="1">
      <t>キュウ</t>
    </rPh>
    <rPh sb="1" eb="3">
      <t>コクホ</t>
    </rPh>
    <phoneticPr fontId="3"/>
  </si>
  <si>
    <t>旧国保２</t>
    <rPh sb="0" eb="1">
      <t>キュウ</t>
    </rPh>
    <rPh sb="1" eb="3">
      <t>コクホ</t>
    </rPh>
    <phoneticPr fontId="3"/>
  </si>
  <si>
    <t>年金所得（軽減判定）</t>
    <rPh sb="0" eb="2">
      <t>ネンキン</t>
    </rPh>
    <rPh sb="2" eb="4">
      <t>ショトク</t>
    </rPh>
    <rPh sb="5" eb="6">
      <t>ケイ</t>
    </rPh>
    <rPh sb="6" eb="7">
      <t>ゲン</t>
    </rPh>
    <rPh sb="7" eb="9">
      <t>ハンテイ</t>
    </rPh>
    <phoneticPr fontId="3"/>
  </si>
  <si>
    <t>軽減判定所得</t>
    <rPh sb="0" eb="2">
      <t>ケイゲン</t>
    </rPh>
    <rPh sb="2" eb="4">
      <t>ハンテイ</t>
    </rPh>
    <rPh sb="4" eb="6">
      <t>ショトク</t>
    </rPh>
    <phoneticPr fontId="3"/>
  </si>
  <si>
    <t>割軽減</t>
    <rPh sb="0" eb="1">
      <t>ワ</t>
    </rPh>
    <rPh sb="1" eb="2">
      <t>ケイ</t>
    </rPh>
    <rPh sb="2" eb="3">
      <t>ゲン</t>
    </rPh>
    <phoneticPr fontId="3"/>
  </si>
  <si>
    <t>特定世帯該当フラグ</t>
    <rPh sb="0" eb="2">
      <t>トクテイ</t>
    </rPh>
    <rPh sb="2" eb="4">
      <t>セタイ</t>
    </rPh>
    <rPh sb="4" eb="6">
      <t>ガイトウ</t>
    </rPh>
    <phoneticPr fontId="3"/>
  </si>
  <si>
    <t>現在の年齢</t>
    <rPh sb="0" eb="2">
      <t>ゲンザイ</t>
    </rPh>
    <rPh sb="3" eb="5">
      <t>ネンレイ</t>
    </rPh>
    <phoneticPr fontId="3"/>
  </si>
  <si>
    <t>　　となる見込です。</t>
    <rPh sb="5" eb="7">
      <t>ミコミ</t>
    </rPh>
    <phoneticPr fontId="3"/>
  </si>
  <si>
    <t>軽減判定所得合計</t>
    <rPh sb="0" eb="1">
      <t>ケイ</t>
    </rPh>
    <rPh sb="1" eb="2">
      <t>ゲン</t>
    </rPh>
    <rPh sb="2" eb="4">
      <t>ハンテイ</t>
    </rPh>
    <rPh sb="4" eb="6">
      <t>ショトク</t>
    </rPh>
    <rPh sb="6" eb="8">
      <t>ゴウケイ</t>
    </rPh>
    <phoneticPr fontId="3"/>
  </si>
  <si>
    <t>国民健康保険税は世帯全員の分を代表して世帯主に課税されます。</t>
    <rPh sb="0" eb="2">
      <t>コクミン</t>
    </rPh>
    <rPh sb="2" eb="4">
      <t>ケンコウ</t>
    </rPh>
    <rPh sb="4" eb="6">
      <t>ホケン</t>
    </rPh>
    <rPh sb="6" eb="7">
      <t>ゼイ</t>
    </rPh>
    <rPh sb="8" eb="10">
      <t>セタイ</t>
    </rPh>
    <rPh sb="10" eb="12">
      <t>ゼンイン</t>
    </rPh>
    <rPh sb="13" eb="14">
      <t>ブン</t>
    </rPh>
    <rPh sb="15" eb="17">
      <t>ダイヒョウ</t>
    </rPh>
    <rPh sb="19" eb="22">
      <t>セタイヌシ</t>
    </rPh>
    <rPh sb="23" eb="25">
      <t>カゼイ</t>
    </rPh>
    <phoneticPr fontId="3"/>
  </si>
  <si>
    <t>注意事項</t>
    <rPh sb="0" eb="2">
      <t>チュウイ</t>
    </rPh>
    <rPh sb="2" eb="4">
      <t>ジコウ</t>
    </rPh>
    <phoneticPr fontId="3"/>
  </si>
  <si>
    <t>加入者の年齢・所得状況などを入力してください。</t>
    <rPh sb="0" eb="3">
      <t>カニュウシャ</t>
    </rPh>
    <rPh sb="4" eb="6">
      <t>ネンレイ</t>
    </rPh>
    <rPh sb="7" eb="9">
      <t>ショトク</t>
    </rPh>
    <rPh sb="9" eb="11">
      <t>ジョウキョウ</t>
    </rPh>
    <rPh sb="14" eb="16">
      <t>ニュウリョク</t>
    </rPh>
    <phoneticPr fontId="3"/>
  </si>
  <si>
    <t>(収入などがなくても年齢は必ず入力してください。）</t>
    <rPh sb="1" eb="3">
      <t>シュウニュウ</t>
    </rPh>
    <rPh sb="10" eb="12">
      <t>ネンレイ</t>
    </rPh>
    <rPh sb="13" eb="14">
      <t>カナラ</t>
    </rPh>
    <rPh sb="15" eb="17">
      <t>ニュウリョク</t>
    </rPh>
    <phoneticPr fontId="3"/>
  </si>
  <si>
    <t>軽減についても計算されますが、専従者給与が関わる場合は実際の税額と異なる場合があります。</t>
    <rPh sb="0" eb="2">
      <t>ケイゲン</t>
    </rPh>
    <rPh sb="7" eb="9">
      <t>ケイサン</t>
    </rPh>
    <rPh sb="15" eb="18">
      <t>センジュウシャ</t>
    </rPh>
    <rPh sb="18" eb="20">
      <t>キュウヨ</t>
    </rPh>
    <rPh sb="21" eb="22">
      <t>カカ</t>
    </rPh>
    <rPh sb="24" eb="26">
      <t>バアイ</t>
    </rPh>
    <rPh sb="27" eb="29">
      <t>ジッサイ</t>
    </rPh>
    <rPh sb="30" eb="32">
      <t>ゼイガク</t>
    </rPh>
    <rPh sb="33" eb="34">
      <t>コト</t>
    </rPh>
    <rPh sb="36" eb="38">
      <t>バアイ</t>
    </rPh>
    <phoneticPr fontId="3"/>
  </si>
  <si>
    <t>◎</t>
    <phoneticPr fontId="3"/>
  </si>
  <si>
    <t>世帯員５</t>
    <rPh sb="0" eb="3">
      <t>セタイイン</t>
    </rPh>
    <phoneticPr fontId="3"/>
  </si>
  <si>
    <t>世帯員６</t>
    <rPh sb="0" eb="3">
      <t>セタイイン</t>
    </rPh>
    <phoneticPr fontId="3"/>
  </si>
  <si>
    <t>世帯員７</t>
    <rPh sb="0" eb="3">
      <t>セタイイン</t>
    </rPh>
    <phoneticPr fontId="3"/>
  </si>
  <si>
    <t>旧国保３</t>
    <rPh sb="0" eb="1">
      <t>キュウ</t>
    </rPh>
    <rPh sb="1" eb="3">
      <t>コクホ</t>
    </rPh>
    <phoneticPr fontId="3"/>
  </si>
  <si>
    <t>　　人数が一人になった世帯のことです。</t>
    <rPh sb="2" eb="4">
      <t>ニンズウ</t>
    </rPh>
    <rPh sb="5" eb="7">
      <t>ヒトリ</t>
    </rPh>
    <rPh sb="11" eb="13">
      <t>セタイ</t>
    </rPh>
    <phoneticPr fontId="3"/>
  </si>
  <si>
    <t>←軽減区分</t>
    <rPh sb="1" eb="2">
      <t>ケイ</t>
    </rPh>
    <rPh sb="2" eb="3">
      <t>ゲン</t>
    </rPh>
    <rPh sb="3" eb="5">
      <t>クブン</t>
    </rPh>
    <phoneticPr fontId="3"/>
  </si>
  <si>
    <t>←特定世帯該当</t>
    <rPh sb="1" eb="3">
      <t>トクテイ</t>
    </rPh>
    <rPh sb="3" eb="5">
      <t>セタイ</t>
    </rPh>
    <rPh sb="5" eb="7">
      <t>ガイトウ</t>
    </rPh>
    <phoneticPr fontId="3"/>
  </si>
  <si>
    <t>以前</t>
  </si>
  <si>
    <t>以降</t>
  </si>
  <si>
    <r>
      <t>←この色で塗られている欄の各項目を</t>
    </r>
    <r>
      <rPr>
        <b/>
        <sz val="11"/>
        <rFont val="ＭＳ Ｐゴシック"/>
        <family val="3"/>
        <charset val="128"/>
      </rPr>
      <t>半角数字</t>
    </r>
    <r>
      <rPr>
        <sz val="11"/>
        <rFont val="ＭＳ Ｐゴシック"/>
        <family val="3"/>
        <charset val="128"/>
      </rPr>
      <t>で入力又は選択してください。</t>
    </r>
    <rPh sb="3" eb="4">
      <t>イロ</t>
    </rPh>
    <rPh sb="5" eb="6">
      <t>ヌ</t>
    </rPh>
    <rPh sb="11" eb="12">
      <t>ラン</t>
    </rPh>
    <rPh sb="13" eb="14">
      <t>カク</t>
    </rPh>
    <rPh sb="14" eb="15">
      <t>コウ</t>
    </rPh>
    <rPh sb="15" eb="16">
      <t>モク</t>
    </rPh>
    <rPh sb="17" eb="19">
      <t>ハンカク</t>
    </rPh>
    <rPh sb="19" eb="21">
      <t>スウジ</t>
    </rPh>
    <rPh sb="22" eb="24">
      <t>ニュウリョク</t>
    </rPh>
    <rPh sb="24" eb="25">
      <t>マタ</t>
    </rPh>
    <rPh sb="26" eb="28">
      <t>センタク</t>
    </rPh>
    <phoneticPr fontId="3"/>
  </si>
  <si>
    <t>《特定世帯》</t>
    <rPh sb="1" eb="3">
      <t>トクテイ</t>
    </rPh>
    <rPh sb="3" eb="5">
      <t>セタイ</t>
    </rPh>
    <phoneticPr fontId="3"/>
  </si>
  <si>
    <t>非該当</t>
    <rPh sb="0" eb="1">
      <t>ヒ</t>
    </rPh>
    <rPh sb="1" eb="3">
      <t>ガイトウ</t>
    </rPh>
    <phoneticPr fontId="3"/>
  </si>
  <si>
    <t>後期高齢者支援金分</t>
    <rPh sb="0" eb="2">
      <t>コウキ</t>
    </rPh>
    <rPh sb="2" eb="5">
      <t>コウレイシャ</t>
    </rPh>
    <rPh sb="5" eb="7">
      <t>シエン</t>
    </rPh>
    <rPh sb="7" eb="9">
      <t>キンブン</t>
    </rPh>
    <phoneticPr fontId="3"/>
  </si>
  <si>
    <t>介護保険分</t>
    <rPh sb="0" eb="2">
      <t>カイゴ</t>
    </rPh>
    <rPh sb="2" eb="4">
      <t>ホケン</t>
    </rPh>
    <rPh sb="4" eb="5">
      <t>ブン</t>
    </rPh>
    <phoneticPr fontId="3"/>
  </si>
  <si>
    <t>下の欄に年齢と収入・所得情報を入力してください。</t>
    <phoneticPr fontId="3"/>
  </si>
  <si>
    <t>※前年の収入から諸経費を控除した後の金額です。</t>
    <rPh sb="1" eb="2">
      <t>マエ</t>
    </rPh>
    <rPh sb="2" eb="3">
      <t>ネン</t>
    </rPh>
    <rPh sb="4" eb="6">
      <t>シュウニュウ</t>
    </rPh>
    <rPh sb="8" eb="9">
      <t>ショ</t>
    </rPh>
    <rPh sb="9" eb="11">
      <t>ケイヒ</t>
    </rPh>
    <rPh sb="12" eb="14">
      <t>コウジョ</t>
    </rPh>
    <rPh sb="16" eb="17">
      <t>ノチ</t>
    </rPh>
    <rPh sb="18" eb="20">
      <t>キンガク</t>
    </rPh>
    <phoneticPr fontId="3"/>
  </si>
  <si>
    <t>　　その結果、あなたの世帯の国民健康保険税の年税額は、</t>
    <rPh sb="4" eb="6">
      <t>ケッカ</t>
    </rPh>
    <rPh sb="11" eb="13">
      <t>セタイ</t>
    </rPh>
    <rPh sb="14" eb="21">
      <t>コクミンケンコウホケンゼイ</t>
    </rPh>
    <rPh sb="22" eb="25">
      <t>ネンゼイガク</t>
    </rPh>
    <phoneticPr fontId="3"/>
  </si>
  <si>
    <t>　（世帯主である場合には上の世帯主情報欄の右端で「旧国保」を選択して、こちらには入力しないでください。）</t>
    <rPh sb="2" eb="5">
      <t>セタイヌシ</t>
    </rPh>
    <rPh sb="8" eb="10">
      <t>バアイ</t>
    </rPh>
    <rPh sb="12" eb="13">
      <t>ウエ</t>
    </rPh>
    <rPh sb="14" eb="17">
      <t>セタイヌシ</t>
    </rPh>
    <rPh sb="17" eb="19">
      <t>ジョウホウ</t>
    </rPh>
    <rPh sb="19" eb="20">
      <t>ラン</t>
    </rPh>
    <rPh sb="21" eb="23">
      <t>ミギハシ</t>
    </rPh>
    <rPh sb="25" eb="26">
      <t>キュウ</t>
    </rPh>
    <rPh sb="26" eb="28">
      <t>コクホ</t>
    </rPh>
    <rPh sb="30" eb="32">
      <t>センタク</t>
    </rPh>
    <rPh sb="40" eb="42">
      <t>ニュウリョク</t>
    </rPh>
    <phoneticPr fontId="3"/>
  </si>
  <si>
    <t>平成２１年度から資産割は廃止されました</t>
    <rPh sb="0" eb="2">
      <t>ヘイセイ</t>
    </rPh>
    <rPh sb="4" eb="6">
      <t>ネンド</t>
    </rPh>
    <rPh sb="8" eb="10">
      <t>シサン</t>
    </rPh>
    <rPh sb="10" eb="11">
      <t>ワリ</t>
    </rPh>
    <rPh sb="12" eb="14">
      <t>ハイシ</t>
    </rPh>
    <phoneticPr fontId="3"/>
  </si>
  <si>
    <t>①</t>
    <phoneticPr fontId="3"/>
  </si>
  <si>
    <t>②</t>
    <phoneticPr fontId="3"/>
  </si>
  <si>
    <t>③（①－②）</t>
    <phoneticPr fontId="3"/>
  </si>
  <si>
    <t>⑤</t>
    <phoneticPr fontId="3"/>
  </si>
  <si>
    <t>⑥</t>
    <phoneticPr fontId="3"/>
  </si>
  <si>
    <t>④＋⑤＋⑥</t>
    <phoneticPr fontId="3"/>
  </si>
  <si>
    <t>　</t>
    <phoneticPr fontId="3"/>
  </si>
  <si>
    <t xml:space="preserve"> </t>
    <phoneticPr fontId="3"/>
  </si>
  <si>
    <t>国民健康保険　加入者</t>
    <rPh sb="0" eb="2">
      <t>コクミン</t>
    </rPh>
    <rPh sb="2" eb="4">
      <t>ケンコウ</t>
    </rPh>
    <rPh sb="4" eb="6">
      <t>ホケン</t>
    </rPh>
    <rPh sb="7" eb="10">
      <t>カニュウシャ</t>
    </rPh>
    <phoneticPr fontId="3"/>
  </si>
  <si>
    <t>失業軽減</t>
    <rPh sb="0" eb="2">
      <t>シツギョウ</t>
    </rPh>
    <rPh sb="2" eb="4">
      <t>ケイゲン</t>
    </rPh>
    <phoneticPr fontId="3"/>
  </si>
  <si>
    <t>※非自発的失業軽減特例の適用を受けている方は”○”を入力してください。</t>
    <rPh sb="1" eb="2">
      <t>ヒ</t>
    </rPh>
    <rPh sb="2" eb="5">
      <t>ジハツテキ</t>
    </rPh>
    <rPh sb="5" eb="7">
      <t>シツギョウ</t>
    </rPh>
    <rPh sb="7" eb="9">
      <t>ケイゲン</t>
    </rPh>
    <rPh sb="9" eb="11">
      <t>トクレイ</t>
    </rPh>
    <rPh sb="12" eb="14">
      <t>テキヨウ</t>
    </rPh>
    <rPh sb="15" eb="16">
      <t>ウ</t>
    </rPh>
    <rPh sb="20" eb="21">
      <t>カタ</t>
    </rPh>
    <rPh sb="26" eb="28">
      <t>ニュウリョク</t>
    </rPh>
    <phoneticPr fontId="3"/>
  </si>
  <si>
    <t>後期該当</t>
    <rPh sb="0" eb="2">
      <t>コウキ</t>
    </rPh>
    <rPh sb="2" eb="4">
      <t>ガイトウ</t>
    </rPh>
    <phoneticPr fontId="3"/>
  </si>
  <si>
    <t>失業軽減</t>
    <rPh sb="0" eb="4">
      <t>シツギョウケイゲン</t>
    </rPh>
    <phoneticPr fontId="3"/>
  </si>
  <si>
    <t>　</t>
    <phoneticPr fontId="3"/>
  </si>
  <si>
    <r>
      <t>②世帯主が</t>
    </r>
    <r>
      <rPr>
        <sz val="11"/>
        <color indexed="10"/>
        <rFont val="ＭＳ Ｐゴシック"/>
        <family val="3"/>
        <charset val="128"/>
      </rPr>
      <t>国保被保険者で無い</t>
    </r>
    <r>
      <rPr>
        <sz val="11"/>
        <rFont val="ＭＳ Ｐゴシック"/>
        <family val="3"/>
        <charset val="128"/>
      </rPr>
      <t>場合は、下の欄に年齢と収入・所得情報等を入力してください。</t>
    </r>
    <rPh sb="1" eb="4">
      <t>セタイヌシ</t>
    </rPh>
    <rPh sb="5" eb="6">
      <t>コク</t>
    </rPh>
    <rPh sb="6" eb="7">
      <t>ホ</t>
    </rPh>
    <rPh sb="7" eb="11">
      <t>ヒホケンシャ</t>
    </rPh>
    <rPh sb="12" eb="13">
      <t>ナ</t>
    </rPh>
    <rPh sb="14" eb="16">
      <t>バアイ</t>
    </rPh>
    <rPh sb="18" eb="19">
      <t>シタ</t>
    </rPh>
    <rPh sb="20" eb="21">
      <t>ラン</t>
    </rPh>
    <rPh sb="22" eb="24">
      <t>ネンレイ</t>
    </rPh>
    <rPh sb="25" eb="27">
      <t>シュウニュウ</t>
    </rPh>
    <rPh sb="28" eb="30">
      <t>ショトク</t>
    </rPh>
    <rPh sb="30" eb="32">
      <t>ジョウホウ</t>
    </rPh>
    <rPh sb="32" eb="33">
      <t>トウ</t>
    </rPh>
    <rPh sb="34" eb="36">
      <t>ニュウリョク</t>
    </rPh>
    <phoneticPr fontId="3"/>
  </si>
  <si>
    <t>分離課税の所得や専従者控除がある場合、加入者それぞれの加入月が異なる場合など</t>
    <rPh sb="0" eb="2">
      <t>ブンリ</t>
    </rPh>
    <rPh sb="2" eb="4">
      <t>カゼイ</t>
    </rPh>
    <rPh sb="5" eb="7">
      <t>ショトク</t>
    </rPh>
    <rPh sb="8" eb="11">
      <t>センジュウシャ</t>
    </rPh>
    <rPh sb="11" eb="13">
      <t>コウジョ</t>
    </rPh>
    <rPh sb="16" eb="18">
      <t>バアイ</t>
    </rPh>
    <rPh sb="19" eb="22">
      <t>カニュウシャ</t>
    </rPh>
    <rPh sb="27" eb="29">
      <t>カニュウ</t>
    </rPh>
    <rPh sb="29" eb="30">
      <t>ツキ</t>
    </rPh>
    <rPh sb="31" eb="32">
      <t>コト</t>
    </rPh>
    <rPh sb="34" eb="36">
      <t>バアイ</t>
    </rPh>
    <phoneticPr fontId="3"/>
  </si>
  <si>
    <t>③世帯の中に国保から後期高齢者医療制度へ移った方がいる場合は、</t>
    <rPh sb="1" eb="3">
      <t>セタイ</t>
    </rPh>
    <rPh sb="4" eb="5">
      <t>ナカ</t>
    </rPh>
    <rPh sb="6" eb="8">
      <t>コクホ</t>
    </rPh>
    <rPh sb="10" eb="12">
      <t>コウキ</t>
    </rPh>
    <rPh sb="12" eb="15">
      <t>コウレイシャ</t>
    </rPh>
    <rPh sb="15" eb="17">
      <t>イリョウ</t>
    </rPh>
    <rPh sb="17" eb="19">
      <t>セイド</t>
    </rPh>
    <rPh sb="20" eb="21">
      <t>ウツ</t>
    </rPh>
    <rPh sb="23" eb="24">
      <t>カタ</t>
    </rPh>
    <rPh sb="27" eb="29">
      <t>バアイ</t>
    </rPh>
    <phoneticPr fontId="3"/>
  </si>
  <si>
    <t>　（特定世帯とは、国保から後期高齢者医療制度へ移った人が世帯にいて、その結果、世帯内の国保被保険者の</t>
    <rPh sb="2" eb="4">
      <t>トクテイ</t>
    </rPh>
    <rPh sb="4" eb="6">
      <t>セタイ</t>
    </rPh>
    <rPh sb="9" eb="11">
      <t>コクホ</t>
    </rPh>
    <rPh sb="13" eb="15">
      <t>コウキ</t>
    </rPh>
    <rPh sb="15" eb="18">
      <t>コウレイシャ</t>
    </rPh>
    <rPh sb="18" eb="20">
      <t>イリョウ</t>
    </rPh>
    <rPh sb="20" eb="22">
      <t>セイド</t>
    </rPh>
    <rPh sb="23" eb="24">
      <t>ウツ</t>
    </rPh>
    <rPh sb="26" eb="27">
      <t>ヒト</t>
    </rPh>
    <rPh sb="28" eb="30">
      <t>セタイ</t>
    </rPh>
    <rPh sb="36" eb="38">
      <t>ケッカ</t>
    </rPh>
    <rPh sb="39" eb="41">
      <t>セタイ</t>
    </rPh>
    <rPh sb="41" eb="42">
      <t>ナイ</t>
    </rPh>
    <rPh sb="43" eb="44">
      <t>コク</t>
    </rPh>
    <rPh sb="44" eb="45">
      <t>ホ</t>
    </rPh>
    <rPh sb="45" eb="49">
      <t>ヒホケンシャ</t>
    </rPh>
    <phoneticPr fontId="3"/>
  </si>
  <si>
    <t>　　５年間は、医療分と支援分の世帯平等割額が半額になり、その後３年間は、４分の３になります。）</t>
    <rPh sb="3" eb="5">
      <t>ネンカン</t>
    </rPh>
    <rPh sb="7" eb="9">
      <t>イリョウ</t>
    </rPh>
    <rPh sb="9" eb="10">
      <t>ブン</t>
    </rPh>
    <rPh sb="11" eb="13">
      <t>シエン</t>
    </rPh>
    <rPh sb="13" eb="14">
      <t>ブン</t>
    </rPh>
    <rPh sb="15" eb="17">
      <t>セタイ</t>
    </rPh>
    <rPh sb="17" eb="19">
      <t>ビョウドウ</t>
    </rPh>
    <rPh sb="19" eb="20">
      <t>ワリ</t>
    </rPh>
    <rPh sb="20" eb="21">
      <t>ガク</t>
    </rPh>
    <rPh sb="22" eb="24">
      <t>ハンガク</t>
    </rPh>
    <phoneticPr fontId="3"/>
  </si>
  <si>
    <t>失業軽減処理後</t>
    <rPh sb="0" eb="2">
      <t>シツギョウ</t>
    </rPh>
    <rPh sb="2" eb="4">
      <t>ケイゲン</t>
    </rPh>
    <rPh sb="4" eb="6">
      <t>ショリ</t>
    </rPh>
    <rPh sb="6" eb="7">
      <t>ゴ</t>
    </rPh>
    <phoneticPr fontId="3"/>
  </si>
  <si>
    <r>
      <t>該当(</t>
    </r>
    <r>
      <rPr>
        <sz val="11"/>
        <rFont val="ＭＳ Ｐゴシック"/>
        <family val="3"/>
        <charset val="128"/>
      </rPr>
      <t>1/2軽減）</t>
    </r>
    <rPh sb="0" eb="2">
      <t>ガイトウ</t>
    </rPh>
    <rPh sb="6" eb="8">
      <t>ケイゲン</t>
    </rPh>
    <phoneticPr fontId="3"/>
  </si>
  <si>
    <r>
      <t>該当(1/4軽減）</t>
    </r>
    <r>
      <rPr>
        <sz val="11"/>
        <rFont val="ＭＳ Ｐゴシック"/>
        <family val="3"/>
        <charset val="128"/>
      </rPr>
      <t/>
    </r>
    <rPh sb="0" eb="2">
      <t>ガイトウ</t>
    </rPh>
    <rPh sb="6" eb="8">
      <t>ケイゲン</t>
    </rPh>
    <phoneticPr fontId="3"/>
  </si>
  <si>
    <t>軽減判定人数</t>
    <rPh sb="0" eb="1">
      <t>ケイ</t>
    </rPh>
    <rPh sb="1" eb="2">
      <t>ゲン</t>
    </rPh>
    <rPh sb="2" eb="4">
      <t>ハンテイ</t>
    </rPh>
    <rPh sb="4" eb="6">
      <t>ニンズ</t>
    </rPh>
    <phoneticPr fontId="3"/>
  </si>
  <si>
    <t>◎給与所得</t>
    <rPh sb="1" eb="3">
      <t>キュウヨ</t>
    </rPh>
    <rPh sb="3" eb="5">
      <t>ショトク</t>
    </rPh>
    <phoneticPr fontId="23"/>
  </si>
  <si>
    <t>◆所得額</t>
    <rPh sb="1" eb="4">
      <t>ショトクガク</t>
    </rPh>
    <phoneticPr fontId="23"/>
  </si>
  <si>
    <t>給与等の収入金額</t>
    <phoneticPr fontId="23"/>
  </si>
  <si>
    <t>Ａ</t>
    <phoneticPr fontId="23"/>
  </si>
  <si>
    <r>
      <rPr>
        <b/>
        <sz val="11"/>
        <color rgb="FFFF0000"/>
        <rFont val="ＭＳ Ｐゴシック"/>
        <family val="3"/>
        <charset val="128"/>
        <scheme val="minor"/>
      </rPr>
      <t>Ａ</t>
    </r>
    <r>
      <rPr>
        <sz val="11"/>
        <rFont val="ＭＳ Ｐゴシック"/>
        <family val="3"/>
        <charset val="128"/>
      </rPr>
      <t>の金額</t>
    </r>
    <rPh sb="2" eb="4">
      <t>キンガク</t>
    </rPh>
    <phoneticPr fontId="23"/>
  </si>
  <si>
    <t>収入</t>
    <rPh sb="0" eb="2">
      <t>シュウニュウ</t>
    </rPh>
    <phoneticPr fontId="23"/>
  </si>
  <si>
    <t>所得</t>
    <rPh sb="0" eb="2">
      <t>ショトク</t>
    </rPh>
    <phoneticPr fontId="23"/>
  </si>
  <si>
    <t>～</t>
    <phoneticPr fontId="23"/>
  </si>
  <si>
    <t>Ｃ</t>
    <phoneticPr fontId="23"/>
  </si>
  <si>
    <t>◆所得金額調整控除(1)</t>
    <rPh sb="1" eb="3">
      <t>ショトク</t>
    </rPh>
    <rPh sb="3" eb="5">
      <t>キンガク</t>
    </rPh>
    <rPh sb="5" eb="7">
      <t>チョウセイ</t>
    </rPh>
    <rPh sb="7" eb="9">
      <t>コウジョ</t>
    </rPh>
    <phoneticPr fontId="23"/>
  </si>
  <si>
    <t>同一生計配偶者若しくは
扶養親族が特別障害者</t>
    <rPh sb="0" eb="2">
      <t>ドウイツ</t>
    </rPh>
    <rPh sb="2" eb="4">
      <t>セイケイ</t>
    </rPh>
    <rPh sb="4" eb="7">
      <t>ハイグウシャ</t>
    </rPh>
    <rPh sb="7" eb="8">
      <t>モ</t>
    </rPh>
    <rPh sb="12" eb="14">
      <t>フヨウ</t>
    </rPh>
    <rPh sb="14" eb="16">
      <t>シンゾク</t>
    </rPh>
    <rPh sb="17" eb="19">
      <t>トクベツ</t>
    </rPh>
    <rPh sb="19" eb="22">
      <t>ショウガイシャ</t>
    </rPh>
    <phoneticPr fontId="23"/>
  </si>
  <si>
    <t>23歳未満（H10.1.2以前生）
扶養親族がいる</t>
    <rPh sb="2" eb="5">
      <t>サイミマン</t>
    </rPh>
    <rPh sb="13" eb="15">
      <t>イゼン</t>
    </rPh>
    <rPh sb="15" eb="16">
      <t>セイ</t>
    </rPh>
    <rPh sb="18" eb="20">
      <t>フヨウ</t>
    </rPh>
    <rPh sb="20" eb="22">
      <t>シンゾク</t>
    </rPh>
    <phoneticPr fontId="23"/>
  </si>
  <si>
    <t>Ｄ</t>
    <phoneticPr fontId="23"/>
  </si>
  <si>
    <r>
      <rPr>
        <b/>
        <sz val="11"/>
        <color rgb="FFFF0000"/>
        <rFont val="ＭＳ Ｐゴシック"/>
        <family val="3"/>
        <charset val="128"/>
        <scheme val="minor"/>
      </rPr>
      <t>Ｄ</t>
    </r>
    <r>
      <rPr>
        <sz val="11"/>
        <rFont val="ＭＳ Ｐゴシック"/>
        <family val="3"/>
        <charset val="128"/>
      </rPr>
      <t xml:space="preserve"> － 850万円</t>
    </r>
    <rPh sb="7" eb="9">
      <t>マンエン</t>
    </rPh>
    <phoneticPr fontId="23"/>
  </si>
  <si>
    <t>Ｅ</t>
    <phoneticPr fontId="23"/>
  </si>
  <si>
    <t>該当</t>
    <rPh sb="0" eb="2">
      <t>ガイトウ</t>
    </rPh>
    <phoneticPr fontId="23"/>
  </si>
  <si>
    <t>所得金額調整控除額</t>
    <rPh sb="0" eb="2">
      <t>ショトク</t>
    </rPh>
    <rPh sb="2" eb="4">
      <t>キンガク</t>
    </rPh>
    <rPh sb="4" eb="6">
      <t>チョウセイ</t>
    </rPh>
    <rPh sb="6" eb="8">
      <t>コウジョ</t>
    </rPh>
    <rPh sb="8" eb="9">
      <t>ガク</t>
    </rPh>
    <phoneticPr fontId="23"/>
  </si>
  <si>
    <t>Ｆ</t>
    <phoneticPr fontId="23"/>
  </si>
  <si>
    <t>差引金額</t>
    <rPh sb="0" eb="2">
      <t>サシヒキ</t>
    </rPh>
    <rPh sb="2" eb="4">
      <t>キンガク</t>
    </rPh>
    <phoneticPr fontId="23"/>
  </si>
  <si>
    <t>Ｇ</t>
    <phoneticPr fontId="23"/>
  </si>
  <si>
    <t>◆所得金額調整控除(2)</t>
    <rPh sb="1" eb="3">
      <t>ショトク</t>
    </rPh>
    <rPh sb="3" eb="5">
      <t>キンガク</t>
    </rPh>
    <rPh sb="5" eb="7">
      <t>チョウセイ</t>
    </rPh>
    <rPh sb="7" eb="9">
      <t>コウジョ</t>
    </rPh>
    <phoneticPr fontId="23"/>
  </si>
  <si>
    <r>
      <t>控除後の金額（</t>
    </r>
    <r>
      <rPr>
        <b/>
        <sz val="11"/>
        <color rgb="FFFF0000"/>
        <rFont val="ＭＳ Ｐゴシック"/>
        <family val="3"/>
        <charset val="128"/>
        <scheme val="minor"/>
      </rPr>
      <t>Ｃ</t>
    </r>
    <r>
      <rPr>
        <sz val="11"/>
        <rFont val="ＭＳ Ｐゴシック"/>
        <family val="3"/>
        <charset val="128"/>
      </rPr>
      <t>）</t>
    </r>
    <rPh sb="0" eb="2">
      <t>コウジョ</t>
    </rPh>
    <rPh sb="2" eb="3">
      <t>ゴ</t>
    </rPh>
    <rPh sb="4" eb="6">
      <t>キンガク</t>
    </rPh>
    <phoneticPr fontId="23"/>
  </si>
  <si>
    <t>Ｈ</t>
    <phoneticPr fontId="23"/>
  </si>
  <si>
    <t>公的年金所得</t>
    <rPh sb="0" eb="2">
      <t>コウテキ</t>
    </rPh>
    <rPh sb="2" eb="4">
      <t>ネンキン</t>
    </rPh>
    <rPh sb="4" eb="6">
      <t>ショトク</t>
    </rPh>
    <phoneticPr fontId="23"/>
  </si>
  <si>
    <t>Ｉ</t>
    <phoneticPr fontId="23"/>
  </si>
  <si>
    <t>Ｊ</t>
    <phoneticPr fontId="23"/>
  </si>
  <si>
    <t>Ｋ</t>
    <phoneticPr fontId="23"/>
  </si>
  <si>
    <t>◎年金所得</t>
    <rPh sb="1" eb="3">
      <t>ネンキン</t>
    </rPh>
    <rPh sb="3" eb="5">
      <t>ショトク</t>
    </rPh>
    <phoneticPr fontId="23"/>
  </si>
  <si>
    <t>生年月日</t>
    <rPh sb="0" eb="2">
      <t>セイネン</t>
    </rPh>
    <rPh sb="2" eb="4">
      <t>ガッピ</t>
    </rPh>
    <phoneticPr fontId="23"/>
  </si>
  <si>
    <t>65歳未満</t>
    <rPh sb="2" eb="3">
      <t>サイ</t>
    </rPh>
    <rPh sb="3" eb="5">
      <t>ミマン</t>
    </rPh>
    <phoneticPr fontId="23"/>
  </si>
  <si>
    <t>65歳以上</t>
    <rPh sb="2" eb="3">
      <t>サイ</t>
    </rPh>
    <rPh sb="3" eb="5">
      <t>イジョウ</t>
    </rPh>
    <phoneticPr fontId="23"/>
  </si>
  <si>
    <t>公的年金等の収入金額</t>
    <rPh sb="0" eb="2">
      <t>コウテキ</t>
    </rPh>
    <rPh sb="2" eb="4">
      <t>ネンキン</t>
    </rPh>
    <rPh sb="4" eb="5">
      <t>ナド</t>
    </rPh>
    <phoneticPr fontId="23"/>
  </si>
  <si>
    <t>以降</t>
    <rPh sb="0" eb="2">
      <t>イコウ</t>
    </rPh>
    <phoneticPr fontId="23"/>
  </si>
  <si>
    <t>以前</t>
    <rPh sb="0" eb="2">
      <t>イゼン</t>
    </rPh>
    <phoneticPr fontId="23"/>
  </si>
  <si>
    <t>給与・年金以外の所得</t>
    <rPh sb="0" eb="2">
      <t>キュウヨ</t>
    </rPh>
    <rPh sb="3" eb="5">
      <t>ネンキン</t>
    </rPh>
    <rPh sb="5" eb="7">
      <t>イガイ</t>
    </rPh>
    <rPh sb="8" eb="10">
      <t>ショトク</t>
    </rPh>
    <phoneticPr fontId="23"/>
  </si>
  <si>
    <t>給与所得（Ｇ）</t>
    <rPh sb="0" eb="2">
      <t>キュウヨ</t>
    </rPh>
    <rPh sb="2" eb="4">
      <t>ショトク</t>
    </rPh>
    <phoneticPr fontId="23"/>
  </si>
  <si>
    <t>合計額</t>
    <rPh sb="0" eb="2">
      <t>ゴウケイ</t>
    </rPh>
    <rPh sb="2" eb="3">
      <t>ガク</t>
    </rPh>
    <phoneticPr fontId="23"/>
  </si>
  <si>
    <t>B</t>
    <phoneticPr fontId="23"/>
  </si>
  <si>
    <t>◆控除額</t>
    <rPh sb="1" eb="3">
      <t>コウジョ</t>
    </rPh>
    <rPh sb="3" eb="4">
      <t>ガク</t>
    </rPh>
    <phoneticPr fontId="23"/>
  </si>
  <si>
    <r>
      <rPr>
        <b/>
        <sz val="11"/>
        <color rgb="FFFF0000"/>
        <rFont val="ＭＳ Ｐゴシック"/>
        <family val="3"/>
        <charset val="128"/>
        <scheme val="minor"/>
      </rPr>
      <t>Ｂ</t>
    </r>
    <r>
      <rPr>
        <sz val="11"/>
        <rFont val="ＭＳ Ｐゴシック"/>
        <family val="3"/>
        <charset val="128"/>
      </rPr>
      <t>の所得</t>
    </r>
    <rPh sb="2" eb="4">
      <t>ショトク</t>
    </rPh>
    <phoneticPr fontId="23"/>
  </si>
  <si>
    <t>1千万円以下</t>
    <rPh sb="1" eb="3">
      <t>センマン</t>
    </rPh>
    <rPh sb="3" eb="4">
      <t>エン</t>
    </rPh>
    <rPh sb="4" eb="6">
      <t>イカ</t>
    </rPh>
    <phoneticPr fontId="23"/>
  </si>
  <si>
    <t>2千万円以下</t>
    <rPh sb="1" eb="3">
      <t>センマン</t>
    </rPh>
    <rPh sb="3" eb="4">
      <t>エン</t>
    </rPh>
    <rPh sb="4" eb="6">
      <t>イカ</t>
    </rPh>
    <phoneticPr fontId="23"/>
  </si>
  <si>
    <t>2千万円超</t>
    <rPh sb="1" eb="3">
      <t>センマン</t>
    </rPh>
    <rPh sb="3" eb="4">
      <t>エン</t>
    </rPh>
    <rPh sb="4" eb="5">
      <t>チョウ</t>
    </rPh>
    <phoneticPr fontId="23"/>
  </si>
  <si>
    <t>公的年金の所得金額</t>
    <rPh sb="0" eb="2">
      <t>コウテキ</t>
    </rPh>
    <rPh sb="2" eb="4">
      <t>ネンキン</t>
    </rPh>
    <rPh sb="5" eb="7">
      <t>ショトク</t>
    </rPh>
    <rPh sb="7" eb="9">
      <t>キンガク</t>
    </rPh>
    <phoneticPr fontId="23"/>
  </si>
  <si>
    <t>　</t>
  </si>
  <si>
    <t>給与所得者判定</t>
    <rPh sb="0" eb="2">
      <t>キュウヨ</t>
    </rPh>
    <rPh sb="2" eb="4">
      <t>ショトク</t>
    </rPh>
    <rPh sb="4" eb="5">
      <t>シャ</t>
    </rPh>
    <rPh sb="5" eb="7">
      <t>ハンテイ</t>
    </rPh>
    <phoneticPr fontId="3"/>
  </si>
  <si>
    <t>擬制世帯主</t>
  </si>
  <si>
    <r>
      <t>の税額を計算できます。</t>
    </r>
    <r>
      <rPr>
        <u/>
        <sz val="11"/>
        <color indexed="10"/>
        <rFont val="ＭＳ Ｐゴシック"/>
        <family val="3"/>
        <charset val="128"/>
      </rPr>
      <t>あくまでも概算ですので実際の税額と異なる場合があります。</t>
    </r>
    <phoneticPr fontId="3"/>
  </si>
  <si>
    <t>特殊な事例は医療保険課までお問合わせください。</t>
    <rPh sb="6" eb="8">
      <t>イリョウ</t>
    </rPh>
    <rPh sb="8" eb="10">
      <t>ホケン</t>
    </rPh>
    <rPh sb="10" eb="11">
      <t>カ</t>
    </rPh>
    <phoneticPr fontId="3"/>
  </si>
  <si>
    <t>※②に「旧国保」の方、③に該当者がいる場合にA～Cのいずれかを選択してください。</t>
    <rPh sb="4" eb="5">
      <t>キュウ</t>
    </rPh>
    <rPh sb="5" eb="7">
      <t>コクホ</t>
    </rPh>
    <rPh sb="9" eb="10">
      <t>カタ</t>
    </rPh>
    <rPh sb="13" eb="16">
      <t>ガイトウシャ</t>
    </rPh>
    <rPh sb="19" eb="21">
      <t>バアイ</t>
    </rPh>
    <rPh sb="31" eb="33">
      <t>センタク</t>
    </rPh>
    <phoneticPr fontId="3"/>
  </si>
  <si>
    <t>　　C.AまたはBにも該当しない。</t>
    <rPh sb="11" eb="13">
      <t>ガイトウ</t>
    </rPh>
    <phoneticPr fontId="3"/>
  </si>
  <si>
    <t>該当</t>
    <rPh sb="0" eb="2">
      <t>ガイトウ</t>
    </rPh>
    <phoneticPr fontId="3"/>
  </si>
  <si>
    <t>年度最終日</t>
    <rPh sb="0" eb="5">
      <t>ネンドサイシュウビ</t>
    </rPh>
    <phoneticPr fontId="3"/>
  </si>
  <si>
    <t>特定世帯</t>
    <rPh sb="0" eb="2">
      <t>トクテイ</t>
    </rPh>
    <rPh sb="2" eb="4">
      <t>セタイ</t>
    </rPh>
    <phoneticPr fontId="3"/>
  </si>
  <si>
    <t>特定継続世帯</t>
    <rPh sb="0" eb="2">
      <t>トクテイ</t>
    </rPh>
    <rPh sb="2" eb="4">
      <t>ケイゾク</t>
    </rPh>
    <rPh sb="4" eb="6">
      <t>セタイ</t>
    </rPh>
    <phoneticPr fontId="3"/>
  </si>
  <si>
    <t>65歳未満</t>
    <rPh sb="2" eb="5">
      <t>サイミマン</t>
    </rPh>
    <phoneticPr fontId="3"/>
  </si>
  <si>
    <t>65歳以上</t>
    <rPh sb="2" eb="5">
      <t>サイイジョウ</t>
    </rPh>
    <phoneticPr fontId="3"/>
  </si>
  <si>
    <t>収入年</t>
    <rPh sb="0" eb="3">
      <t>シュウニュウネン</t>
    </rPh>
    <phoneticPr fontId="3"/>
  </si>
  <si>
    <t>日付</t>
    <rPh sb="0" eb="2">
      <t>ヒヅケ</t>
    </rPh>
    <phoneticPr fontId="3"/>
  </si>
  <si>
    <t>表示用</t>
    <rPh sb="0" eb="3">
      <t>ヒョウジヨウ</t>
    </rPh>
    <phoneticPr fontId="3"/>
  </si>
  <si>
    <t>未就学児</t>
    <rPh sb="0" eb="4">
      <t>ミシュウガクジ</t>
    </rPh>
    <phoneticPr fontId="3"/>
  </si>
  <si>
    <r>
      <t>加入者全員が1年間加入</t>
    </r>
    <r>
      <rPr>
        <sz val="11"/>
        <rFont val="ＭＳ Ｐゴシック"/>
        <family val="3"/>
        <charset val="128"/>
      </rPr>
      <t>するものとして計算されます。</t>
    </r>
    <rPh sb="0" eb="3">
      <t>カニュウシャ</t>
    </rPh>
    <rPh sb="3" eb="5">
      <t>ゼンイン</t>
    </rPh>
    <rPh sb="7" eb="9">
      <t>ネンカン</t>
    </rPh>
    <rPh sb="9" eb="11">
      <t>カニュウ</t>
    </rPh>
    <rPh sb="18" eb="20">
      <t>ケイサン</t>
    </rPh>
    <phoneticPr fontId="3"/>
  </si>
  <si>
    <r>
      <t>計算できるのは国保被保険者が</t>
    </r>
    <r>
      <rPr>
        <b/>
        <sz val="11"/>
        <rFont val="ＭＳ Ｐゴシック"/>
        <family val="3"/>
        <charset val="128"/>
      </rPr>
      <t>7人</t>
    </r>
    <r>
      <rPr>
        <sz val="11"/>
        <rFont val="ＭＳ Ｐゴシック"/>
        <family val="3"/>
        <charset val="128"/>
      </rPr>
      <t>までの場合です。</t>
    </r>
    <rPh sb="0" eb="2">
      <t>ケイサン</t>
    </rPh>
    <rPh sb="7" eb="8">
      <t>コク</t>
    </rPh>
    <rPh sb="8" eb="9">
      <t>ホ</t>
    </rPh>
    <rPh sb="9" eb="13">
      <t>ヒホケンシャ</t>
    </rPh>
    <rPh sb="15" eb="16">
      <t>ニン</t>
    </rPh>
    <rPh sb="19" eb="21">
      <t>バアイ</t>
    </rPh>
    <phoneticPr fontId="3"/>
  </si>
  <si>
    <t>項目</t>
    <rPh sb="0" eb="2">
      <t>コウモク</t>
    </rPh>
    <phoneticPr fontId="3"/>
  </si>
  <si>
    <t>医療分</t>
    <rPh sb="0" eb="3">
      <t>イリョウブン</t>
    </rPh>
    <phoneticPr fontId="3"/>
  </si>
  <si>
    <t>限度額</t>
    <rPh sb="0" eb="2">
      <t>ゲンド</t>
    </rPh>
    <rPh sb="2" eb="3">
      <t>ガク</t>
    </rPh>
    <phoneticPr fontId="3"/>
  </si>
  <si>
    <t>支援分</t>
    <rPh sb="0" eb="3">
      <t>シエンブン</t>
    </rPh>
    <phoneticPr fontId="3"/>
  </si>
  <si>
    <t>賦課期日</t>
    <rPh sb="0" eb="4">
      <t>フカキジツ</t>
    </rPh>
    <phoneticPr fontId="3"/>
  </si>
  <si>
    <t>金額・割合</t>
    <rPh sb="0" eb="2">
      <t>キンガク</t>
    </rPh>
    <rPh sb="3" eb="5">
      <t>ワリアイ</t>
    </rPh>
    <phoneticPr fontId="3"/>
  </si>
  <si>
    <t>賦課限度額</t>
    <rPh sb="0" eb="2">
      <t>フカ</t>
    </rPh>
    <rPh sb="2" eb="5">
      <t>ゲンドガク</t>
    </rPh>
    <phoneticPr fontId="3"/>
  </si>
  <si>
    <t>一人につき</t>
    <rPh sb="0" eb="2">
      <t>ヒトリ</t>
    </rPh>
    <phoneticPr fontId="3"/>
  </si>
  <si>
    <t>一世帯につき</t>
    <rPh sb="0" eb="3">
      <t>イッセタイ</t>
    </rPh>
    <phoneticPr fontId="3"/>
  </si>
  <si>
    <t>◎日付・保険税率・額　管理用シート</t>
    <rPh sb="1" eb="3">
      <t>ヒヅケ</t>
    </rPh>
    <rPh sb="4" eb="8">
      <t>ホケンゼイリツ</t>
    </rPh>
    <rPh sb="9" eb="10">
      <t>ガク</t>
    </rPh>
    <rPh sb="11" eb="14">
      <t>カンリヨウ</t>
    </rPh>
    <phoneticPr fontId="3"/>
  </si>
  <si>
    <t>水色塗りつぶしセルに入力</t>
    <rPh sb="0" eb="2">
      <t>ミズイロ</t>
    </rPh>
    <rPh sb="2" eb="3">
      <t>ヌ</t>
    </rPh>
    <rPh sb="10" eb="12">
      <t>ニュウリョク</t>
    </rPh>
    <phoneticPr fontId="3"/>
  </si>
  <si>
    <t>公的年金収入</t>
    <rPh sb="0" eb="2">
      <t>コウテキ</t>
    </rPh>
    <rPh sb="2" eb="4">
      <t>ネンキン</t>
    </rPh>
    <rPh sb="4" eb="6">
      <t>シュウニュウ</t>
    </rPh>
    <phoneticPr fontId="3"/>
  </si>
  <si>
    <t>給与・公的年金以外の所得</t>
    <rPh sb="0" eb="2">
      <t>キュウヨ</t>
    </rPh>
    <rPh sb="3" eb="5">
      <t>コウテキ</t>
    </rPh>
    <rPh sb="5" eb="7">
      <t>ネンキン</t>
    </rPh>
    <rPh sb="7" eb="9">
      <t>イガイ</t>
    </rPh>
    <rPh sb="10" eb="12">
      <t>ショトク</t>
    </rPh>
    <phoneticPr fontId="3"/>
  </si>
  <si>
    <t>※軽減判定所得については、【情報入力】シートのAW53セルの数式を直接修正すること！</t>
    <rPh sb="1" eb="7">
      <t>ケイゲンハンテイショトク</t>
    </rPh>
    <rPh sb="14" eb="18">
      <t>ジョウホウニュウリョク</t>
    </rPh>
    <rPh sb="30" eb="32">
      <t>スウシキ</t>
    </rPh>
    <rPh sb="33" eb="37">
      <t>チョクセツシュウセイ</t>
    </rPh>
    <phoneticPr fontId="3"/>
  </si>
  <si>
    <t>給与所得（軽減判定）</t>
    <rPh sb="0" eb="2">
      <t>キュウヨ</t>
    </rPh>
    <rPh sb="2" eb="4">
      <t>ショトク</t>
    </rPh>
    <rPh sb="5" eb="6">
      <t>ケイ</t>
    </rPh>
    <rPh sb="6" eb="7">
      <t>ゲン</t>
    </rPh>
    <rPh sb="7" eb="9">
      <t>ハンテイ</t>
    </rPh>
    <phoneticPr fontId="3"/>
  </si>
  <si>
    <t>Ｈ’</t>
    <phoneticPr fontId="23"/>
  </si>
  <si>
    <t>Ｉ’</t>
    <phoneticPr fontId="23"/>
  </si>
  <si>
    <t>Ｊ’</t>
    <phoneticPr fontId="23"/>
  </si>
  <si>
    <t>Ｋ’</t>
    <phoneticPr fontId="23"/>
  </si>
  <si>
    <t>軽減判定用</t>
    <rPh sb="0" eb="5">
      <t>ケイゲンハンテイヨウ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</si>
</sst>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_ "/>
    <numFmt numFmtId="179" formatCode="#,##0_ ;[Red]\-#,##0\ "/>
    <numFmt numFmtId="180" formatCode="#,##0_);\(#,##0\)"/>
    <numFmt numFmtId="181" formatCode="0.0%"/>
  </numFmts>
  <fonts count="3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sz val="11"/>
      <color indexed="10"/>
      <name val="ＭＳ Ｐゴシック"/>
      <family val="3"/>
      <charset val="128"/>
    </font>
    <font>
      <sz val="11"/>
      <color indexed="8"/>
      <name val="ＭＳ Ｐゴシック"/>
      <family val="3"/>
      <charset val="128"/>
    </font>
    <font>
      <b/>
      <sz val="11"/>
      <color indexed="10"/>
      <name val="ＭＳ Ｐゴシック"/>
      <family val="3"/>
      <charset val="128"/>
    </font>
    <font>
      <b/>
      <sz val="11"/>
      <color indexed="17"/>
      <name val="ＭＳ Ｐゴシック"/>
      <family val="3"/>
      <charset val="128"/>
    </font>
    <font>
      <sz val="11"/>
      <color indexed="17"/>
      <name val="ＭＳ Ｐゴシック"/>
      <family val="3"/>
      <charset val="128"/>
    </font>
    <font>
      <b/>
      <sz val="11"/>
      <color indexed="53"/>
      <name val="ＭＳ Ｐゴシック"/>
      <family val="3"/>
      <charset val="128"/>
    </font>
    <font>
      <sz val="10"/>
      <name val="ＭＳ Ｐゴシック"/>
      <family val="3"/>
      <charset val="128"/>
    </font>
    <font>
      <sz val="14"/>
      <color indexed="10"/>
      <name val="ＭＳ Ｐゴシック"/>
      <family val="3"/>
      <charset val="128"/>
    </font>
    <font>
      <b/>
      <sz val="11"/>
      <name val="ＭＳ Ｐゴシック"/>
      <family val="3"/>
      <charset val="128"/>
    </font>
    <font>
      <sz val="8"/>
      <color indexed="10"/>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6"/>
      <name val="ＭＳ Ｐゴシック"/>
      <family val="3"/>
      <charset val="128"/>
      <scheme val="minor"/>
    </font>
    <font>
      <b/>
      <sz val="11"/>
      <color rgb="FFFF0000"/>
      <name val="ＭＳ Ｐゴシック"/>
      <family val="3"/>
      <charset val="128"/>
      <scheme val="minor"/>
    </font>
    <font>
      <sz val="9"/>
      <color theme="1"/>
      <name val="ＭＳ Ｐゴシック"/>
      <family val="2"/>
      <scheme val="minor"/>
    </font>
    <font>
      <u/>
      <sz val="11"/>
      <color indexed="10"/>
      <name val="ＭＳ Ｐゴシック"/>
      <family val="3"/>
      <charset val="128"/>
    </font>
    <font>
      <sz val="10"/>
      <color indexed="10"/>
      <name val="ＭＳ Ｐゴシック"/>
      <family val="3"/>
      <charset val="128"/>
    </font>
    <font>
      <b/>
      <sz val="11"/>
      <color rgb="FFFF0000"/>
      <name val="ＭＳ Ｐゴシック"/>
      <family val="3"/>
      <charset val="128"/>
    </font>
    <font>
      <b/>
      <sz val="11"/>
      <color rgb="FF0070C0"/>
      <name val="ＭＳ Ｐゴシック"/>
      <family val="3"/>
      <charset val="128"/>
      <scheme val="minor"/>
    </font>
  </fonts>
  <fills count="13">
    <fill>
      <patternFill patternType="none"/>
    </fill>
    <fill>
      <patternFill patternType="gray125"/>
    </fill>
    <fill>
      <patternFill patternType="solid">
        <fgColor indexed="29"/>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7"/>
        <bgColor indexed="27"/>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10"/>
      </left>
      <right style="medium">
        <color indexed="10"/>
      </right>
      <top style="medium">
        <color indexed="10"/>
      </top>
      <bottom style="medium">
        <color indexed="10"/>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38" fontId="1" fillId="0" borderId="0" applyFont="0" applyFill="0" applyBorder="0" applyAlignment="0" applyProtection="0"/>
  </cellStyleXfs>
  <cellXfs count="303">
    <xf numFmtId="0" fontId="0" fillId="0" borderId="0" xfId="0"/>
    <xf numFmtId="0" fontId="0" fillId="0" borderId="0" xfId="0" applyProtection="1"/>
    <xf numFmtId="0" fontId="0" fillId="0" borderId="0" xfId="0" applyAlignment="1" applyProtection="1">
      <alignment horizontal="left" vertical="center" wrapText="1"/>
    </xf>
    <xf numFmtId="0" fontId="7" fillId="0" borderId="0" xfId="0" applyFont="1" applyAlignment="1" applyProtection="1">
      <alignment vertical="center"/>
    </xf>
    <xf numFmtId="0" fontId="0" fillId="0" borderId="0" xfId="0" applyBorder="1" applyAlignment="1" applyProtection="1">
      <alignment horizontal="center"/>
    </xf>
    <xf numFmtId="0" fontId="0" fillId="0" borderId="0" xfId="0" applyAlignment="1" applyProtection="1">
      <alignment horizontal="center"/>
    </xf>
    <xf numFmtId="0" fontId="13" fillId="0" borderId="0" xfId="0" applyFont="1" applyBorder="1" applyAlignment="1" applyProtection="1">
      <alignment horizontal="left" vertical="top" wrapText="1"/>
    </xf>
    <xf numFmtId="0" fontId="13" fillId="0" borderId="0" xfId="0" applyFont="1" applyBorder="1" applyAlignment="1" applyProtection="1">
      <alignment vertical="top" wrapText="1"/>
    </xf>
    <xf numFmtId="0" fontId="13" fillId="0" borderId="0" xfId="0" applyFont="1" applyBorder="1" applyAlignment="1" applyProtection="1">
      <alignment vertical="center" wrapText="1"/>
    </xf>
    <xf numFmtId="0" fontId="0" fillId="0" borderId="0" xfId="0" applyBorder="1" applyAlignment="1" applyProtection="1">
      <alignment horizontal="center" vertical="center"/>
    </xf>
    <xf numFmtId="0" fontId="0" fillId="0" borderId="1" xfId="0"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right" vertical="center"/>
    </xf>
    <xf numFmtId="38" fontId="0" fillId="0" borderId="0" xfId="1" applyFont="1" applyFill="1" applyBorder="1" applyAlignment="1" applyProtection="1">
      <alignment horizontal="right" vertical="center"/>
    </xf>
    <xf numFmtId="178" fontId="0" fillId="0" borderId="0" xfId="0" applyNumberFormat="1" applyFill="1" applyBorder="1" applyAlignment="1" applyProtection="1">
      <alignment horizontal="right" vertical="center"/>
    </xf>
    <xf numFmtId="0" fontId="0" fillId="0" borderId="0" xfId="0" applyFill="1" applyProtection="1"/>
    <xf numFmtId="0" fontId="0" fillId="0" borderId="0" xfId="0" applyFill="1" applyBorder="1" applyAlignment="1" applyProtection="1">
      <alignment horizontal="left" vertical="center"/>
    </xf>
    <xf numFmtId="38" fontId="0" fillId="0" borderId="0" xfId="1" applyFont="1" applyFill="1" applyBorder="1" applyAlignment="1" applyProtection="1">
      <alignment vertical="center"/>
    </xf>
    <xf numFmtId="0" fontId="0" fillId="0" borderId="0" xfId="0" applyAlignment="1" applyProtection="1">
      <alignment horizontal="left" indent="1"/>
    </xf>
    <xf numFmtId="0" fontId="6" fillId="0" borderId="0" xfId="0" applyFont="1" applyAlignment="1" applyProtection="1">
      <alignment vertical="center"/>
      <protection hidden="1"/>
    </xf>
    <xf numFmtId="0" fontId="5" fillId="0" borderId="0" xfId="0" applyFont="1" applyAlignment="1" applyProtection="1">
      <alignment vertical="center"/>
      <protection hidden="1"/>
    </xf>
    <xf numFmtId="0" fontId="1" fillId="0" borderId="0" xfId="0" applyFont="1" applyAlignment="1" applyProtection="1">
      <alignment vertical="center"/>
      <protection hidden="1"/>
    </xf>
    <xf numFmtId="0" fontId="1" fillId="0" borderId="0" xfId="0" applyFont="1" applyFill="1" applyBorder="1" applyAlignment="1" applyProtection="1">
      <alignment vertical="center"/>
      <protection hidden="1"/>
    </xf>
    <xf numFmtId="0" fontId="9" fillId="0" borderId="0" xfId="0" applyFont="1" applyBorder="1" applyAlignment="1" applyProtection="1">
      <alignment vertical="center"/>
      <protection hidden="1"/>
    </xf>
    <xf numFmtId="0" fontId="1" fillId="0" borderId="2" xfId="0" applyFont="1" applyBorder="1" applyAlignment="1" applyProtection="1">
      <alignment horizontal="center" vertical="center"/>
      <protection hidden="1"/>
    </xf>
    <xf numFmtId="0" fontId="12"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177" fontId="1" fillId="2" borderId="3" xfId="0" applyNumberFormat="1" applyFont="1" applyFill="1" applyBorder="1" applyAlignment="1" applyProtection="1">
      <alignment vertical="center"/>
      <protection hidden="1"/>
    </xf>
    <xf numFmtId="0" fontId="9" fillId="0" borderId="0" xfId="0" applyFont="1" applyAlignment="1" applyProtection="1">
      <alignment vertical="center"/>
      <protection hidden="1"/>
    </xf>
    <xf numFmtId="0" fontId="7" fillId="0" borderId="0" xfId="0" applyFont="1" applyAlignment="1" applyProtection="1">
      <alignment vertical="center"/>
      <protection hidden="1"/>
    </xf>
    <xf numFmtId="177" fontId="1" fillId="0" borderId="0" xfId="0" applyNumberFormat="1" applyFont="1" applyAlignment="1" applyProtection="1">
      <alignment vertical="center"/>
      <protection hidden="1"/>
    </xf>
    <xf numFmtId="3" fontId="1" fillId="0" borderId="0" xfId="0" applyNumberFormat="1" applyFont="1" applyFill="1" applyBorder="1" applyAlignment="1" applyProtection="1">
      <alignment vertical="center"/>
      <protection hidden="1"/>
    </xf>
    <xf numFmtId="177" fontId="1" fillId="0" borderId="2" xfId="0" applyNumberFormat="1" applyFont="1" applyFill="1" applyBorder="1" applyAlignment="1" applyProtection="1">
      <alignment horizontal="center"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1" fillId="0" borderId="0" xfId="0" applyFont="1" applyAlignment="1" applyProtection="1">
      <alignment horizontal="right" vertical="center"/>
      <protection hidden="1"/>
    </xf>
    <xf numFmtId="0" fontId="11" fillId="0" borderId="0" xfId="0" applyFont="1" applyAlignment="1" applyProtection="1">
      <alignment horizontal="left" vertical="center"/>
      <protection hidden="1"/>
    </xf>
    <xf numFmtId="0" fontId="1" fillId="0" borderId="0" xfId="0" applyFont="1" applyFill="1" applyAlignment="1" applyProtection="1">
      <alignment vertical="center"/>
      <protection hidden="1"/>
    </xf>
    <xf numFmtId="0" fontId="1" fillId="0" borderId="0" xfId="0" applyFont="1" applyFill="1" applyAlignment="1" applyProtection="1">
      <alignment horizontal="left" vertical="center"/>
      <protection hidden="1"/>
    </xf>
    <xf numFmtId="0" fontId="1" fillId="0" borderId="0" xfId="0" applyFont="1" applyFill="1" applyAlignment="1" applyProtection="1">
      <alignment horizontal="center"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Fill="1" applyBorder="1" applyAlignment="1" applyProtection="1">
      <alignment horizontal="left" vertical="center"/>
      <protection hidden="1"/>
    </xf>
    <xf numFmtId="3" fontId="1" fillId="0" borderId="0" xfId="0" applyNumberFormat="1" applyFont="1" applyFill="1" applyBorder="1" applyAlignment="1" applyProtection="1">
      <alignment horizontal="center" vertical="center"/>
      <protection hidden="1"/>
    </xf>
    <xf numFmtId="0" fontId="1" fillId="0" borderId="0" xfId="0" applyFont="1" applyFill="1" applyBorder="1" applyAlignment="1" applyProtection="1">
      <alignment horizontal="left"/>
      <protection hidden="1"/>
    </xf>
    <xf numFmtId="0" fontId="1" fillId="0" borderId="0" xfId="0" applyFont="1" applyFill="1" applyBorder="1" applyAlignment="1" applyProtection="1">
      <alignment horizontal="center" vertical="center"/>
      <protection hidden="1"/>
    </xf>
    <xf numFmtId="178" fontId="1" fillId="0" borderId="0" xfId="0" applyNumberFormat="1" applyFont="1" applyBorder="1" applyAlignment="1" applyProtection="1">
      <alignment vertical="center"/>
      <protection hidden="1"/>
    </xf>
    <xf numFmtId="0" fontId="2"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3" fontId="2"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176" fontId="1" fillId="0" borderId="0" xfId="0" applyNumberFormat="1" applyFont="1" applyBorder="1" applyAlignment="1" applyProtection="1">
      <alignment horizontal="center" vertical="center"/>
      <protection hidden="1"/>
    </xf>
    <xf numFmtId="0" fontId="1" fillId="0" borderId="0" xfId="0" applyFont="1" applyBorder="1" applyAlignment="1" applyProtection="1">
      <alignment vertical="center"/>
      <protection hidden="1"/>
    </xf>
    <xf numFmtId="0" fontId="4" fillId="0" borderId="0" xfId="0" applyFont="1" applyBorder="1" applyAlignment="1" applyProtection="1">
      <alignment horizontal="center" vertical="center"/>
    </xf>
    <xf numFmtId="0" fontId="1" fillId="0" borderId="4" xfId="0" applyFont="1" applyBorder="1" applyAlignment="1" applyProtection="1">
      <alignment vertical="center"/>
      <protection hidden="1"/>
    </xf>
    <xf numFmtId="0" fontId="1" fillId="4" borderId="0" xfId="0" applyFont="1" applyFill="1" applyAlignment="1" applyProtection="1">
      <alignment vertical="center"/>
      <protection locked="0"/>
    </xf>
    <xf numFmtId="0" fontId="1" fillId="0" borderId="0" xfId="0" applyFont="1" applyAlignment="1" applyProtection="1">
      <alignment vertical="center" shrinkToFit="1"/>
      <protection hidden="1"/>
    </xf>
    <xf numFmtId="0" fontId="0" fillId="0" borderId="5" xfId="0" applyBorder="1" applyAlignment="1" applyProtection="1">
      <alignment horizontal="center" vertical="center"/>
    </xf>
    <xf numFmtId="0" fontId="7" fillId="0" borderId="0" xfId="0" applyFont="1" applyFill="1" applyBorder="1" applyAlignment="1" applyProtection="1">
      <alignment horizontal="left" vertical="center"/>
      <protection hidden="1"/>
    </xf>
    <xf numFmtId="0" fontId="0" fillId="4" borderId="6" xfId="0" applyFill="1" applyBorder="1" applyProtection="1"/>
    <xf numFmtId="178" fontId="0" fillId="0" borderId="7" xfId="0" applyNumberFormat="1" applyFill="1" applyBorder="1" applyAlignment="1" applyProtection="1">
      <alignment horizontal="right" vertical="center"/>
    </xf>
    <xf numFmtId="178" fontId="0" fillId="0" borderId="8" xfId="0" applyNumberFormat="1" applyFill="1" applyBorder="1" applyAlignment="1" applyProtection="1">
      <alignment horizontal="right" vertical="center"/>
    </xf>
    <xf numFmtId="0" fontId="0" fillId="0" borderId="9" xfId="0" applyFill="1" applyBorder="1" applyAlignment="1" applyProtection="1">
      <alignment horizontal="center" vertical="center"/>
    </xf>
    <xf numFmtId="178" fontId="0" fillId="0" borderId="10" xfId="0" applyNumberFormat="1" applyFill="1" applyBorder="1" applyAlignment="1" applyProtection="1">
      <alignment horizontal="right" vertical="center"/>
    </xf>
    <xf numFmtId="0" fontId="0" fillId="0" borderId="11" xfId="0" applyFill="1" applyBorder="1" applyAlignment="1" applyProtection="1">
      <alignment horizontal="center" vertical="center"/>
    </xf>
    <xf numFmtId="178" fontId="0" fillId="0" borderId="12" xfId="0" applyNumberFormat="1" applyFill="1" applyBorder="1" applyAlignment="1" applyProtection="1">
      <alignment horizontal="right" vertical="center"/>
    </xf>
    <xf numFmtId="178" fontId="0" fillId="0" borderId="4" xfId="0" applyNumberFormat="1" applyFill="1" applyBorder="1" applyAlignment="1" applyProtection="1">
      <alignment horizontal="right" vertical="center"/>
    </xf>
    <xf numFmtId="0" fontId="0" fillId="0" borderId="13" xfId="0" applyFill="1" applyBorder="1" applyAlignment="1" applyProtection="1">
      <alignment horizontal="center" vertical="center"/>
    </xf>
    <xf numFmtId="0" fontId="0" fillId="0" borderId="7" xfId="0" applyBorder="1" applyProtection="1"/>
    <xf numFmtId="0" fontId="0" fillId="0" borderId="8" xfId="0" applyBorder="1" applyProtection="1"/>
    <xf numFmtId="0" fontId="0" fillId="0" borderId="9" xfId="0" applyBorder="1" applyProtection="1"/>
    <xf numFmtId="0" fontId="0" fillId="0" borderId="10" xfId="0" applyBorder="1" applyProtection="1"/>
    <xf numFmtId="0" fontId="0" fillId="0" borderId="0" xfId="0" applyBorder="1" applyProtection="1"/>
    <xf numFmtId="0" fontId="0" fillId="0" borderId="11" xfId="0" applyBorder="1" applyProtection="1"/>
    <xf numFmtId="0" fontId="0" fillId="0" borderId="12" xfId="0" applyBorder="1" applyProtection="1"/>
    <xf numFmtId="0" fontId="0" fillId="0" borderId="4" xfId="0" applyBorder="1" applyProtection="1"/>
    <xf numFmtId="0" fontId="0" fillId="0" borderId="13" xfId="0" applyBorder="1" applyProtection="1"/>
    <xf numFmtId="38" fontId="0" fillId="0" borderId="7" xfId="1" applyFont="1" applyFill="1" applyBorder="1" applyAlignment="1" applyProtection="1">
      <alignment horizontal="right" vertical="center"/>
    </xf>
    <xf numFmtId="38" fontId="0" fillId="0" borderId="8" xfId="1" applyFont="1" applyFill="1" applyBorder="1" applyAlignment="1" applyProtection="1">
      <alignment horizontal="right" vertical="center"/>
    </xf>
    <xf numFmtId="38" fontId="0" fillId="0" borderId="10" xfId="1" applyFont="1" applyFill="1" applyBorder="1" applyAlignment="1" applyProtection="1">
      <alignment horizontal="right" vertical="center"/>
    </xf>
    <xf numFmtId="0" fontId="0" fillId="0" borderId="8" xfId="0" applyFill="1" applyBorder="1" applyAlignment="1" applyProtection="1">
      <alignment horizontal="center" vertical="center"/>
    </xf>
    <xf numFmtId="0" fontId="0" fillId="0" borderId="9" xfId="0" applyBorder="1" applyAlignment="1" applyProtection="1">
      <alignment horizontal="center" vertical="center"/>
    </xf>
    <xf numFmtId="0" fontId="0" fillId="0" borderId="14" xfId="0" applyBorder="1" applyAlignment="1" applyProtection="1">
      <alignment horizontal="center" vertical="center"/>
    </xf>
    <xf numFmtId="0" fontId="0" fillId="3" borderId="15" xfId="0" applyFill="1" applyBorder="1" applyAlignment="1" applyProtection="1">
      <alignment horizontal="center" vertical="center"/>
      <protection locked="0"/>
    </xf>
    <xf numFmtId="0" fontId="17" fillId="0" borderId="0" xfId="0" applyFont="1" applyFill="1" applyBorder="1" applyAlignment="1" applyProtection="1">
      <alignment vertical="top" wrapText="1"/>
    </xf>
    <xf numFmtId="0" fontId="0" fillId="0" borderId="0" xfId="0" applyFill="1" applyBorder="1" applyAlignment="1" applyProtection="1"/>
    <xf numFmtId="38" fontId="0" fillId="4" borderId="16" xfId="0" applyNumberFormat="1" applyFill="1" applyBorder="1" applyProtection="1"/>
    <xf numFmtId="176" fontId="1" fillId="0" borderId="0" xfId="0" applyNumberFormat="1" applyFont="1" applyBorder="1" applyAlignment="1" applyProtection="1">
      <alignment vertical="center"/>
      <protection hidden="1"/>
    </xf>
    <xf numFmtId="0" fontId="0" fillId="0" borderId="0" xfId="0" applyFill="1" applyBorder="1" applyProtection="1"/>
    <xf numFmtId="0" fontId="0" fillId="0" borderId="17" xfId="0" applyFill="1" applyBorder="1" applyProtection="1"/>
    <xf numFmtId="0" fontId="0" fillId="0" borderId="0" xfId="0" applyFill="1" applyBorder="1" applyAlignment="1" applyProtection="1">
      <alignment horizontal="center"/>
    </xf>
    <xf numFmtId="0" fontId="0" fillId="0" borderId="0" xfId="0" applyAlignment="1" applyProtection="1">
      <alignment vertical="center" wrapText="1"/>
    </xf>
    <xf numFmtId="0" fontId="0" fillId="4" borderId="4" xfId="0" applyFill="1" applyBorder="1" applyProtection="1"/>
    <xf numFmtId="38" fontId="0" fillId="0" borderId="0" xfId="1" applyFont="1" applyAlignment="1"/>
    <xf numFmtId="38" fontId="0" fillId="10" borderId="0" xfId="1" applyFont="1" applyFill="1" applyAlignment="1"/>
    <xf numFmtId="38" fontId="24" fillId="0" borderId="0" xfId="1" applyFont="1" applyAlignment="1"/>
    <xf numFmtId="0" fontId="24" fillId="0" borderId="0" xfId="0" applyFont="1"/>
    <xf numFmtId="0" fontId="0" fillId="9" borderId="20" xfId="0" applyFill="1" applyBorder="1" applyAlignment="1">
      <alignment horizontal="center"/>
    </xf>
    <xf numFmtId="0" fontId="0" fillId="0" borderId="0" xfId="0" applyAlignment="1">
      <alignment horizontal="center"/>
    </xf>
    <xf numFmtId="57" fontId="0" fillId="10" borderId="0" xfId="0" applyNumberFormat="1" applyFill="1"/>
    <xf numFmtId="57" fontId="0" fillId="0" borderId="0" xfId="0" applyNumberFormat="1"/>
    <xf numFmtId="0" fontId="0" fillId="0" borderId="0" xfId="0" applyAlignment="1"/>
    <xf numFmtId="0" fontId="0" fillId="10" borderId="0" xfId="0" applyFill="1" applyAlignment="1"/>
    <xf numFmtId="38" fontId="0" fillId="0" borderId="0" xfId="1" applyFont="1" applyAlignment="1">
      <alignment horizontal="center"/>
    </xf>
    <xf numFmtId="38" fontId="1" fillId="0" borderId="0" xfId="0" applyNumberFormat="1" applyFont="1" applyAlignment="1" applyProtection="1">
      <alignment vertical="center"/>
      <protection hidden="1"/>
    </xf>
    <xf numFmtId="0" fontId="0" fillId="0" borderId="10" xfId="0" applyFill="1" applyBorder="1" applyProtection="1"/>
    <xf numFmtId="0" fontId="0" fillId="0" borderId="11" xfId="0" applyFill="1" applyBorder="1" applyProtection="1"/>
    <xf numFmtId="0" fontId="1" fillId="0" borderId="0" xfId="0" applyFont="1" applyAlignment="1" applyProtection="1">
      <alignment vertical="center"/>
      <protection hidden="1"/>
    </xf>
    <xf numFmtId="0" fontId="0" fillId="0" borderId="0" xfId="0" applyAlignment="1" applyProtection="1">
      <protection hidden="1"/>
    </xf>
    <xf numFmtId="0" fontId="0" fillId="0" borderId="0" xfId="0" applyFill="1" applyAlignment="1" applyProtection="1">
      <protection hidden="1"/>
    </xf>
    <xf numFmtId="0" fontId="0" fillId="0" borderId="0" xfId="0" applyFill="1" applyAlignment="1" applyProtection="1"/>
    <xf numFmtId="0" fontId="7" fillId="0" borderId="0" xfId="0" applyFont="1" applyFill="1" applyAlignment="1" applyProtection="1">
      <alignment horizontal="right"/>
    </xf>
    <xf numFmtId="0" fontId="0" fillId="0" borderId="0" xfId="0" applyAlignment="1">
      <alignment vertical="center"/>
    </xf>
    <xf numFmtId="0" fontId="0" fillId="0" borderId="20" xfId="0" applyBorder="1" applyAlignment="1">
      <alignment horizontal="center" vertical="center"/>
    </xf>
    <xf numFmtId="181" fontId="0" fillId="9" borderId="20" xfId="0" applyNumberFormat="1" applyFill="1" applyBorder="1" applyAlignment="1">
      <alignment vertical="center"/>
    </xf>
    <xf numFmtId="0" fontId="0" fillId="0" borderId="20" xfId="0" applyBorder="1" applyAlignment="1">
      <alignment vertical="center"/>
    </xf>
    <xf numFmtId="38" fontId="0" fillId="9" borderId="20" xfId="1" applyFont="1" applyFill="1" applyBorder="1" applyAlignment="1">
      <alignment vertical="center"/>
    </xf>
    <xf numFmtId="57" fontId="0" fillId="9" borderId="20" xfId="0" applyNumberFormat="1" applyFill="1" applyBorder="1" applyAlignment="1">
      <alignment vertical="center"/>
    </xf>
    <xf numFmtId="57" fontId="0" fillId="0" borderId="20" xfId="0" applyNumberFormat="1" applyBorder="1" applyAlignment="1">
      <alignment vertical="center"/>
    </xf>
    <xf numFmtId="0" fontId="0" fillId="9" borderId="20" xfId="0" applyFill="1" applyBorder="1" applyAlignment="1">
      <alignment vertical="center"/>
    </xf>
    <xf numFmtId="0" fontId="0" fillId="0" borderId="0" xfId="0" applyProtection="1">
      <protection hidden="1"/>
    </xf>
    <xf numFmtId="0" fontId="1" fillId="0" borderId="0" xfId="0" applyFont="1" applyAlignment="1" applyProtection="1">
      <alignment horizontal="right"/>
      <protection hidden="1"/>
    </xf>
    <xf numFmtId="0" fontId="1" fillId="0" borderId="0" xfId="0" applyFont="1" applyProtection="1">
      <protection hidden="1"/>
    </xf>
    <xf numFmtId="0" fontId="14" fillId="0" borderId="0" xfId="0" applyFont="1" applyProtection="1">
      <protection hidden="1"/>
    </xf>
    <xf numFmtId="0" fontId="0" fillId="3" borderId="2" xfId="0" applyFill="1" applyBorder="1" applyProtection="1">
      <protection hidden="1"/>
    </xf>
    <xf numFmtId="0" fontId="15" fillId="0" borderId="0" xfId="0" applyFont="1" applyProtection="1">
      <protection hidden="1"/>
    </xf>
    <xf numFmtId="0" fontId="1" fillId="0" borderId="0" xfId="0" applyFont="1" applyAlignment="1" applyProtection="1">
      <alignment vertical="top"/>
      <protection hidden="1"/>
    </xf>
    <xf numFmtId="0" fontId="0" fillId="0" borderId="0" xfId="0" applyAlignment="1" applyProtection="1">
      <alignment vertical="center"/>
      <protection hidden="1"/>
    </xf>
    <xf numFmtId="0" fontId="0" fillId="0" borderId="0" xfId="0" applyAlignment="1" applyProtection="1">
      <alignment vertical="center" wrapText="1"/>
      <protection hidden="1"/>
    </xf>
    <xf numFmtId="0" fontId="0" fillId="0" borderId="0" xfId="0" applyFont="1" applyAlignment="1" applyProtection="1">
      <alignment vertical="center"/>
      <protection hidden="1"/>
    </xf>
    <xf numFmtId="0" fontId="0" fillId="0" borderId="0" xfId="0" applyFont="1" applyFill="1" applyBorder="1" applyProtection="1">
      <protection hidden="1"/>
    </xf>
    <xf numFmtId="0" fontId="1" fillId="0" borderId="0" xfId="0" applyFont="1" applyFill="1" applyBorder="1" applyProtection="1">
      <protection hidden="1"/>
    </xf>
    <xf numFmtId="0" fontId="0" fillId="0" borderId="0" xfId="0" applyFill="1" applyBorder="1" applyProtection="1">
      <protection hidden="1"/>
    </xf>
    <xf numFmtId="0" fontId="0" fillId="0" borderId="0" xfId="0" applyAlignment="1" applyProtection="1">
      <alignment horizontal="left" vertical="center" wrapText="1"/>
      <protection hidden="1"/>
    </xf>
    <xf numFmtId="0" fontId="0" fillId="0" borderId="0" xfId="0" applyAlignment="1" applyProtection="1">
      <alignment horizontal="right" vertical="center"/>
      <protection hidden="1"/>
    </xf>
    <xf numFmtId="38" fontId="0" fillId="0" borderId="0" xfId="1" applyFont="1" applyAlignment="1">
      <alignment horizontal="center"/>
    </xf>
    <xf numFmtId="38" fontId="0" fillId="0" borderId="20" xfId="0" applyNumberFormat="1" applyFill="1" applyBorder="1" applyAlignment="1">
      <alignment vertical="center"/>
    </xf>
    <xf numFmtId="0" fontId="27" fillId="0" borderId="0" xfId="0" applyFont="1" applyFill="1" applyBorder="1" applyAlignment="1" applyProtection="1">
      <alignment horizontal="left" vertical="center"/>
      <protection hidden="1"/>
    </xf>
    <xf numFmtId="0" fontId="28" fillId="0" borderId="0" xfId="0" applyFont="1" applyAlignment="1">
      <alignment vertical="center"/>
    </xf>
    <xf numFmtId="38" fontId="0" fillId="12" borderId="0" xfId="1" applyFont="1" applyFill="1" applyAlignment="1"/>
    <xf numFmtId="0" fontId="0" fillId="0" borderId="7"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1" xfId="0" applyFill="1" applyBorder="1" applyAlignment="1" applyProtection="1"/>
    <xf numFmtId="38" fontId="29" fillId="0" borderId="0" xfId="1" applyFont="1" applyAlignment="1"/>
    <xf numFmtId="38" fontId="0" fillId="0" borderId="0" xfId="0" applyNumberFormat="1"/>
    <xf numFmtId="0" fontId="13" fillId="0" borderId="6"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vertical="center"/>
      <protection hidden="1"/>
    </xf>
    <xf numFmtId="0" fontId="17" fillId="0" borderId="2" xfId="0" applyFont="1" applyFill="1" applyBorder="1" applyAlignment="1" applyProtection="1">
      <alignment vertical="top" wrapText="1"/>
      <protection hidden="1"/>
    </xf>
    <xf numFmtId="38" fontId="22" fillId="9" borderId="2" xfId="1" applyFont="1"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0" borderId="2" xfId="0" applyBorder="1" applyAlignment="1" applyProtection="1">
      <alignment horizontal="center" vertical="center" shrinkToFit="1"/>
    </xf>
    <xf numFmtId="0" fontId="13" fillId="0" borderId="4" xfId="0" applyFont="1" applyBorder="1" applyAlignment="1" applyProtection="1">
      <alignment horizontal="center" vertical="top" wrapText="1"/>
    </xf>
    <xf numFmtId="178" fontId="0" fillId="4" borderId="6" xfId="0" applyNumberFormat="1" applyFill="1" applyBorder="1" applyAlignment="1" applyProtection="1">
      <alignment horizontal="right" vertical="center"/>
    </xf>
    <xf numFmtId="178" fontId="0" fillId="4" borderId="5" xfId="0" applyNumberFormat="1" applyFill="1" applyBorder="1" applyAlignment="1" applyProtection="1">
      <alignment horizontal="right" vertical="center"/>
    </xf>
    <xf numFmtId="0" fontId="0" fillId="0" borderId="5" xfId="0" applyBorder="1" applyAlignment="1" applyProtection="1">
      <alignment horizontal="left"/>
    </xf>
    <xf numFmtId="0" fontId="0" fillId="0" borderId="1" xfId="0" applyBorder="1" applyAlignment="1" applyProtection="1">
      <alignment horizontal="left"/>
    </xf>
    <xf numFmtId="0" fontId="0" fillId="0" borderId="4" xfId="0" applyBorder="1" applyAlignment="1" applyProtection="1">
      <alignment horizontal="left" shrinkToFit="1"/>
    </xf>
    <xf numFmtId="0" fontId="0" fillId="0" borderId="6" xfId="0" applyBorder="1" applyAlignment="1" applyProtection="1">
      <alignment horizontal="left" shrinkToFit="1"/>
    </xf>
    <xf numFmtId="0" fontId="0" fillId="0" borderId="5" xfId="0" applyBorder="1" applyAlignment="1" applyProtection="1">
      <alignment horizontal="left" shrinkToFit="1"/>
    </xf>
    <xf numFmtId="0" fontId="0" fillId="0" borderId="1" xfId="0" applyBorder="1" applyAlignment="1" applyProtection="1">
      <alignment horizontal="left" shrinkToFit="1"/>
    </xf>
    <xf numFmtId="38" fontId="0" fillId="0" borderId="6" xfId="1" applyFont="1" applyFill="1" applyBorder="1" applyAlignment="1" applyProtection="1">
      <alignment horizontal="right" vertical="center"/>
    </xf>
    <xf numFmtId="38" fontId="0" fillId="0" borderId="5" xfId="1" applyFont="1" applyFill="1" applyBorder="1" applyAlignment="1" applyProtection="1">
      <alignment horizontal="right" vertical="center"/>
    </xf>
    <xf numFmtId="38" fontId="0" fillId="4" borderId="6" xfId="1" applyFont="1" applyFill="1" applyBorder="1" applyAlignment="1" applyProtection="1">
      <alignment horizontal="right" vertical="center"/>
    </xf>
    <xf numFmtId="38" fontId="0" fillId="4" borderId="5" xfId="1" applyFont="1" applyFill="1" applyBorder="1" applyAlignment="1" applyProtection="1">
      <alignment horizontal="right" vertical="center"/>
    </xf>
    <xf numFmtId="0" fontId="0" fillId="0" borderId="6" xfId="0" applyFill="1" applyBorder="1" applyAlignment="1" applyProtection="1">
      <alignment horizontal="center"/>
    </xf>
    <xf numFmtId="0" fontId="0" fillId="0" borderId="5" xfId="0" applyFill="1" applyBorder="1" applyAlignment="1" applyProtection="1">
      <alignment horizontal="center"/>
    </xf>
    <xf numFmtId="0" fontId="0" fillId="0" borderId="1" xfId="0" applyFill="1" applyBorder="1" applyAlignment="1" applyProtection="1">
      <alignment horizontal="center"/>
    </xf>
    <xf numFmtId="0" fontId="0" fillId="0" borderId="6" xfId="0" applyFill="1" applyBorder="1" applyAlignment="1" applyProtection="1">
      <alignment horizontal="center" wrapText="1"/>
    </xf>
    <xf numFmtId="0" fontId="0" fillId="0" borderId="5" xfId="0" applyFill="1" applyBorder="1" applyAlignment="1" applyProtection="1">
      <alignment horizontal="center" wrapText="1"/>
    </xf>
    <xf numFmtId="0" fontId="0" fillId="0" borderId="1" xfId="0" applyFill="1" applyBorder="1" applyAlignment="1" applyProtection="1">
      <alignment horizontal="center" wrapText="1"/>
    </xf>
    <xf numFmtId="38" fontId="0" fillId="3" borderId="6" xfId="1" applyFont="1" applyFill="1" applyBorder="1" applyAlignment="1" applyProtection="1">
      <alignment horizontal="right" vertical="center"/>
      <protection locked="0"/>
    </xf>
    <xf numFmtId="38" fontId="0" fillId="3" borderId="5" xfId="1" applyFont="1" applyFill="1" applyBorder="1" applyAlignment="1" applyProtection="1">
      <alignment horizontal="right" vertical="center"/>
      <protection locked="0"/>
    </xf>
    <xf numFmtId="0" fontId="0" fillId="0" borderId="2" xfId="0" applyBorder="1" applyAlignment="1" applyProtection="1">
      <alignment horizontal="center" vertical="center"/>
      <protection locked="0"/>
    </xf>
    <xf numFmtId="0" fontId="0" fillId="3" borderId="6" xfId="0" applyFill="1" applyBorder="1" applyAlignment="1" applyProtection="1">
      <alignment horizontal="right" vertical="center"/>
      <protection locked="0"/>
    </xf>
    <xf numFmtId="0" fontId="0" fillId="3" borderId="5" xfId="0" applyFill="1" applyBorder="1" applyAlignment="1" applyProtection="1">
      <alignment horizontal="right" vertical="center"/>
      <protection locked="0"/>
    </xf>
    <xf numFmtId="0" fontId="17" fillId="0" borderId="2" xfId="0" applyFont="1" applyBorder="1" applyAlignment="1" applyProtection="1">
      <alignment horizontal="center" vertical="center" shrinkToFit="1"/>
      <protection hidden="1"/>
    </xf>
    <xf numFmtId="38" fontId="13" fillId="0" borderId="6" xfId="1" applyFont="1" applyFill="1" applyBorder="1" applyAlignment="1" applyProtection="1">
      <alignment horizontal="center" vertical="center"/>
    </xf>
    <xf numFmtId="38" fontId="13" fillId="0" borderId="1" xfId="1" applyFont="1" applyFill="1" applyBorder="1" applyAlignment="1" applyProtection="1">
      <alignment horizontal="center" vertical="center"/>
    </xf>
    <xf numFmtId="38" fontId="19" fillId="3" borderId="6" xfId="1" applyFont="1" applyFill="1" applyBorder="1" applyAlignment="1" applyProtection="1">
      <alignment horizontal="center" vertical="center"/>
      <protection locked="0"/>
    </xf>
    <xf numFmtId="38" fontId="19" fillId="3" borderId="1" xfId="1" applyFont="1" applyFill="1" applyBorder="1" applyAlignment="1" applyProtection="1">
      <alignment horizontal="center" vertical="center"/>
      <protection locked="0"/>
    </xf>
    <xf numFmtId="38" fontId="20" fillId="4" borderId="0" xfId="1" applyFont="1" applyFill="1" applyBorder="1" applyAlignment="1" applyProtection="1">
      <alignment horizontal="right" vertical="center"/>
      <protection hidden="1"/>
    </xf>
    <xf numFmtId="0" fontId="13" fillId="0" borderId="2"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protection hidden="1"/>
    </xf>
    <xf numFmtId="0" fontId="13" fillId="0" borderId="2" xfId="0" applyFont="1" applyBorder="1" applyAlignment="1" applyProtection="1">
      <alignment horizontal="center" vertical="center" wrapText="1"/>
    </xf>
    <xf numFmtId="0" fontId="0" fillId="0" borderId="2" xfId="0" applyBorder="1" applyAlignment="1" applyProtection="1">
      <alignment horizontal="center" vertical="center"/>
    </xf>
    <xf numFmtId="0" fontId="0" fillId="0" borderId="2" xfId="0" applyFill="1" applyBorder="1" applyAlignment="1" applyProtection="1">
      <alignment horizontal="center" vertical="center"/>
    </xf>
    <xf numFmtId="0" fontId="16" fillId="0" borderId="7" xfId="0" applyFont="1" applyBorder="1" applyAlignment="1" applyProtection="1">
      <alignment vertical="top" wrapText="1"/>
      <protection hidden="1"/>
    </xf>
    <xf numFmtId="0" fontId="16" fillId="0" borderId="8" xfId="0" applyFont="1" applyBorder="1" applyAlignment="1" applyProtection="1">
      <alignment vertical="top" wrapText="1"/>
      <protection hidden="1"/>
    </xf>
    <xf numFmtId="0" fontId="16" fillId="0" borderId="9" xfId="0" applyFont="1" applyBorder="1" applyAlignment="1" applyProtection="1">
      <alignment vertical="top" wrapText="1"/>
      <protection hidden="1"/>
    </xf>
    <xf numFmtId="0" fontId="16" fillId="0" borderId="10" xfId="0" applyFont="1" applyBorder="1" applyAlignment="1" applyProtection="1">
      <alignment vertical="top" wrapText="1"/>
      <protection hidden="1"/>
    </xf>
    <xf numFmtId="0" fontId="16" fillId="0" borderId="0" xfId="0" applyFont="1" applyBorder="1" applyAlignment="1" applyProtection="1">
      <alignment vertical="top" wrapText="1"/>
      <protection hidden="1"/>
    </xf>
    <xf numFmtId="0" fontId="16" fillId="0" borderId="11" xfId="0" applyFont="1" applyBorder="1" applyAlignment="1" applyProtection="1">
      <alignment vertical="top" wrapText="1"/>
      <protection hidden="1"/>
    </xf>
    <xf numFmtId="0" fontId="16" fillId="0" borderId="12" xfId="0" applyFont="1" applyBorder="1" applyAlignment="1" applyProtection="1">
      <alignment vertical="top" wrapText="1"/>
      <protection hidden="1"/>
    </xf>
    <xf numFmtId="0" fontId="16" fillId="0" borderId="4" xfId="0" applyFont="1" applyBorder="1" applyAlignment="1" applyProtection="1">
      <alignment vertical="top" wrapText="1"/>
      <protection hidden="1"/>
    </xf>
    <xf numFmtId="0" fontId="16" fillId="0" borderId="13" xfId="0" applyFont="1" applyBorder="1" applyAlignment="1" applyProtection="1">
      <alignment vertical="top"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8" xfId="0" applyFont="1" applyBorder="1" applyAlignment="1" applyProtection="1">
      <alignment horizontal="left" vertical="top" wrapText="1"/>
      <protection hidden="1"/>
    </xf>
    <xf numFmtId="0" fontId="17" fillId="0" borderId="9" xfId="0" applyFont="1" applyBorder="1" applyAlignment="1" applyProtection="1">
      <alignment horizontal="left" vertical="top" wrapText="1"/>
      <protection hidden="1"/>
    </xf>
    <xf numFmtId="0" fontId="17" fillId="0" borderId="10" xfId="0" applyFont="1" applyBorder="1" applyAlignment="1" applyProtection="1">
      <alignment horizontal="left" vertical="top" wrapText="1"/>
      <protection hidden="1"/>
    </xf>
    <xf numFmtId="0" fontId="17" fillId="0" borderId="0" xfId="0" applyFont="1" applyBorder="1" applyAlignment="1" applyProtection="1">
      <alignment horizontal="left" vertical="top" wrapText="1"/>
      <protection hidden="1"/>
    </xf>
    <xf numFmtId="0" fontId="17" fillId="0" borderId="11" xfId="0" applyFont="1" applyBorder="1" applyAlignment="1" applyProtection="1">
      <alignment horizontal="left" vertical="top" wrapText="1"/>
      <protection hidden="1"/>
    </xf>
    <xf numFmtId="0" fontId="17" fillId="0" borderId="12" xfId="0" applyFont="1" applyBorder="1" applyAlignment="1" applyProtection="1">
      <alignment horizontal="left" vertical="top" wrapText="1"/>
      <protection hidden="1"/>
    </xf>
    <xf numFmtId="0" fontId="17" fillId="0" borderId="4" xfId="0" applyFont="1" applyBorder="1" applyAlignment="1" applyProtection="1">
      <alignment horizontal="left" vertical="top" wrapText="1"/>
      <protection hidden="1"/>
    </xf>
    <xf numFmtId="0" fontId="17" fillId="0" borderId="13" xfId="0" applyFont="1" applyBorder="1" applyAlignment="1" applyProtection="1">
      <alignment horizontal="left" vertical="top" wrapText="1"/>
      <protection hidden="1"/>
    </xf>
    <xf numFmtId="0" fontId="13" fillId="0" borderId="6" xfId="0" applyFont="1" applyBorder="1" applyAlignment="1" applyProtection="1">
      <alignment horizontal="center" vertical="center"/>
      <protection hidden="1"/>
    </xf>
    <xf numFmtId="0" fontId="13" fillId="0" borderId="5"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 fillId="0" borderId="2" xfId="0" applyFont="1" applyBorder="1" applyAlignment="1" applyProtection="1">
      <alignment horizontal="center" vertical="center" shrinkToFit="1"/>
    </xf>
    <xf numFmtId="0" fontId="1" fillId="0" borderId="6" xfId="0" applyFont="1" applyBorder="1" applyAlignment="1" applyProtection="1">
      <alignment horizontal="center" vertical="center" shrinkToFit="1"/>
    </xf>
    <xf numFmtId="0" fontId="0" fillId="0" borderId="2" xfId="0" applyBorder="1" applyAlignment="1" applyProtection="1">
      <alignment horizontal="center" shrinkToFit="1"/>
    </xf>
    <xf numFmtId="0" fontId="0" fillId="0" borderId="2" xfId="0" applyFont="1" applyBorder="1" applyAlignment="1" applyProtection="1">
      <alignment horizontal="center" vertical="center" shrinkToFit="1"/>
    </xf>
    <xf numFmtId="38" fontId="13" fillId="0" borderId="5" xfId="1" applyFont="1" applyFill="1" applyBorder="1" applyAlignment="1" applyProtection="1">
      <alignment horizontal="center" vertical="center"/>
    </xf>
    <xf numFmtId="38" fontId="13" fillId="0" borderId="2" xfId="1" applyFont="1" applyFill="1" applyBorder="1" applyAlignment="1" applyProtection="1">
      <alignment horizontal="center" vertical="center"/>
    </xf>
    <xf numFmtId="38" fontId="19" fillId="3" borderId="5" xfId="1" applyFont="1" applyFill="1" applyBorder="1" applyAlignment="1" applyProtection="1">
      <alignment horizontal="center" vertical="center"/>
      <protection locked="0"/>
    </xf>
    <xf numFmtId="38" fontId="0" fillId="3" borderId="2" xfId="1" applyFont="1" applyFill="1" applyBorder="1" applyAlignment="1" applyProtection="1">
      <alignment horizontal="center" vertical="center"/>
      <protection locked="0"/>
    </xf>
    <xf numFmtId="0" fontId="13" fillId="0" borderId="2" xfId="0" applyFont="1" applyBorder="1" applyAlignment="1" applyProtection="1">
      <alignment horizontal="center" vertical="center"/>
    </xf>
    <xf numFmtId="0" fontId="0" fillId="0" borderId="2" xfId="0" applyBorder="1" applyAlignment="1" applyProtection="1">
      <alignment horizontal="center"/>
    </xf>
    <xf numFmtId="0" fontId="18" fillId="0" borderId="2" xfId="0" applyFont="1" applyBorder="1" applyAlignment="1" applyProtection="1">
      <alignment horizontal="center" vertical="center"/>
      <protection hidden="1"/>
    </xf>
    <xf numFmtId="0" fontId="18" fillId="0" borderId="2" xfId="0" applyFont="1" applyBorder="1" applyAlignment="1">
      <alignment vertical="center"/>
    </xf>
    <xf numFmtId="0" fontId="18" fillId="6" borderId="2" xfId="0" applyFont="1" applyFill="1" applyBorder="1" applyAlignment="1" applyProtection="1">
      <alignment horizontal="center" vertical="center"/>
      <protection hidden="1"/>
    </xf>
    <xf numFmtId="0" fontId="18" fillId="0" borderId="2" xfId="0" applyFont="1" applyBorder="1" applyAlignment="1">
      <alignment horizontal="center" vertical="center"/>
    </xf>
    <xf numFmtId="0" fontId="1" fillId="6" borderId="2" xfId="0" applyFont="1" applyFill="1" applyBorder="1" applyAlignment="1" applyProtection="1">
      <alignment horizontal="center" vertical="center"/>
      <protection hidden="1"/>
    </xf>
    <xf numFmtId="0" fontId="1" fillId="0" borderId="2" xfId="0" applyFont="1" applyBorder="1" applyAlignment="1">
      <alignment horizontal="center" vertical="center"/>
    </xf>
    <xf numFmtId="179" fontId="1" fillId="0" borderId="6" xfId="1" applyNumberFormat="1" applyFont="1" applyBorder="1" applyAlignment="1" applyProtection="1">
      <alignment vertical="center"/>
      <protection hidden="1"/>
    </xf>
    <xf numFmtId="179" fontId="1" fillId="0" borderId="5" xfId="1" applyNumberFormat="1" applyFont="1" applyBorder="1" applyAlignment="1" applyProtection="1">
      <alignment vertical="center"/>
      <protection hidden="1"/>
    </xf>
    <xf numFmtId="179" fontId="1" fillId="0" borderId="1" xfId="1" applyNumberFormat="1" applyFont="1" applyBorder="1" applyAlignment="1" applyProtection="1">
      <alignment vertical="center"/>
      <protection hidden="1"/>
    </xf>
    <xf numFmtId="176" fontId="1" fillId="0" borderId="2" xfId="0" applyNumberFormat="1" applyFont="1" applyBorder="1" applyAlignment="1" applyProtection="1">
      <alignment horizontal="right" vertical="center"/>
      <protection hidden="1"/>
    </xf>
    <xf numFmtId="176" fontId="1" fillId="0" borderId="2" xfId="0" applyNumberFormat="1" applyFont="1" applyBorder="1" applyAlignment="1">
      <alignment horizontal="right" vertical="center"/>
    </xf>
    <xf numFmtId="0" fontId="1" fillId="6" borderId="18" xfId="0" applyFont="1" applyFill="1" applyBorder="1" applyAlignment="1" applyProtection="1">
      <alignment horizontal="center" vertical="center"/>
      <protection hidden="1"/>
    </xf>
    <xf numFmtId="0" fontId="1" fillId="0" borderId="18" xfId="0" applyFont="1" applyBorder="1" applyAlignment="1">
      <alignment horizontal="center" vertical="center"/>
    </xf>
    <xf numFmtId="0" fontId="1" fillId="0" borderId="2" xfId="0" applyFont="1" applyBorder="1" applyAlignment="1" applyProtection="1">
      <alignment horizontal="center" vertical="center"/>
      <protection hidden="1"/>
    </xf>
    <xf numFmtId="178" fontId="1" fillId="5" borderId="2" xfId="0" applyNumberFormat="1" applyFont="1" applyFill="1" applyBorder="1" applyAlignment="1" applyProtection="1">
      <alignment vertical="center"/>
      <protection hidden="1"/>
    </xf>
    <xf numFmtId="0" fontId="0" fillId="11" borderId="6" xfId="0" applyFont="1" applyFill="1" applyBorder="1" applyAlignment="1" applyProtection="1">
      <alignment horizontal="left" vertical="center" indent="6"/>
      <protection hidden="1"/>
    </xf>
    <xf numFmtId="0" fontId="0" fillId="11" borderId="5" xfId="0" applyFont="1" applyFill="1" applyBorder="1" applyAlignment="1" applyProtection="1">
      <alignment horizontal="left" vertical="center" indent="6"/>
      <protection hidden="1"/>
    </xf>
    <xf numFmtId="0" fontId="1" fillId="11" borderId="5" xfId="0" applyFont="1" applyFill="1" applyBorder="1" applyAlignment="1" applyProtection="1">
      <alignment horizontal="right" vertical="center" indent="4"/>
      <protection hidden="1"/>
    </xf>
    <xf numFmtId="0" fontId="1" fillId="11" borderId="1" xfId="0" applyFont="1" applyFill="1" applyBorder="1" applyAlignment="1" applyProtection="1">
      <alignment horizontal="right" vertical="center" indent="4"/>
      <protection hidden="1"/>
    </xf>
    <xf numFmtId="178" fontId="1" fillId="5" borderId="6" xfId="0" applyNumberFormat="1" applyFont="1" applyFill="1" applyBorder="1" applyAlignment="1" applyProtection="1">
      <alignment vertical="center"/>
      <protection hidden="1"/>
    </xf>
    <xf numFmtId="178" fontId="1" fillId="5" borderId="5" xfId="0" applyNumberFormat="1" applyFont="1" applyFill="1" applyBorder="1" applyAlignment="1">
      <alignment vertical="center"/>
    </xf>
    <xf numFmtId="178" fontId="1" fillId="5" borderId="1" xfId="0" applyNumberFormat="1" applyFont="1" applyFill="1" applyBorder="1" applyAlignment="1">
      <alignment vertical="center"/>
    </xf>
    <xf numFmtId="0" fontId="8" fillId="0" borderId="2" xfId="0" applyFont="1" applyBorder="1" applyAlignment="1" applyProtection="1">
      <alignment horizontal="center" vertical="center"/>
      <protection hidden="1"/>
    </xf>
    <xf numFmtId="176" fontId="1" fillId="0" borderId="2" xfId="0" applyNumberFormat="1" applyFont="1" applyFill="1" applyBorder="1" applyAlignment="1" applyProtection="1">
      <alignment vertical="center"/>
      <protection hidden="1"/>
    </xf>
    <xf numFmtId="176" fontId="1" fillId="0" borderId="2" xfId="0" applyNumberFormat="1" applyFont="1" applyBorder="1" applyAlignment="1">
      <alignment vertical="center"/>
    </xf>
    <xf numFmtId="176" fontId="1" fillId="0" borderId="2" xfId="0" applyNumberFormat="1" applyFont="1" applyFill="1" applyBorder="1" applyAlignment="1" applyProtection="1">
      <alignment horizontal="right" vertical="center"/>
      <protection hidden="1"/>
    </xf>
    <xf numFmtId="0" fontId="1" fillId="0" borderId="2" xfId="0" applyFont="1" applyBorder="1" applyAlignment="1">
      <alignment vertical="center"/>
    </xf>
    <xf numFmtId="180" fontId="1" fillId="6" borderId="2" xfId="1" applyNumberFormat="1" applyFont="1" applyFill="1" applyBorder="1" applyAlignment="1" applyProtection="1">
      <alignment vertical="center"/>
      <protection hidden="1"/>
    </xf>
    <xf numFmtId="0" fontId="0" fillId="11" borderId="6" xfId="0" applyFill="1" applyBorder="1" applyAlignment="1" applyProtection="1">
      <alignment horizontal="left" vertical="center" indent="6"/>
      <protection hidden="1"/>
    </xf>
    <xf numFmtId="0" fontId="0" fillId="11" borderId="5" xfId="0" applyFill="1" applyBorder="1" applyAlignment="1" applyProtection="1">
      <alignment horizontal="left" vertical="center" indent="6"/>
      <protection hidden="1"/>
    </xf>
    <xf numFmtId="0" fontId="1" fillId="0" borderId="0"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179" fontId="1" fillId="0" borderId="0" xfId="1" applyNumberFormat="1" applyFont="1" applyAlignment="1" applyProtection="1">
      <alignment vertical="center"/>
      <protection hidden="1"/>
    </xf>
    <xf numFmtId="0" fontId="0" fillId="0" borderId="2"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0" fontId="0" fillId="0" borderId="2" xfId="0" applyFill="1" applyBorder="1" applyAlignment="1">
      <alignment horizontal="center" vertical="center"/>
    </xf>
    <xf numFmtId="0" fontId="0" fillId="0" borderId="2" xfId="0" applyBorder="1" applyAlignment="1" applyProtection="1">
      <alignment horizontal="center" vertical="center"/>
      <protection hidden="1"/>
    </xf>
    <xf numFmtId="0" fontId="0" fillId="0" borderId="2" xfId="0" applyBorder="1" applyAlignment="1">
      <alignment horizontal="center" vertical="center"/>
    </xf>
    <xf numFmtId="0" fontId="2" fillId="0" borderId="2" xfId="0" applyFont="1" applyBorder="1" applyAlignment="1" applyProtection="1">
      <alignment horizontal="center" vertical="center"/>
      <protection hidden="1"/>
    </xf>
    <xf numFmtId="0" fontId="0" fillId="6" borderId="2" xfId="0" applyFill="1" applyBorder="1" applyAlignment="1" applyProtection="1">
      <alignment horizontal="center" vertical="center"/>
      <protection hidden="1"/>
    </xf>
    <xf numFmtId="0" fontId="8" fillId="0" borderId="2" xfId="0" applyFont="1" applyBorder="1" applyAlignment="1" applyProtection="1">
      <alignment horizontal="center" vertical="center" shrinkToFit="1"/>
      <protection hidden="1"/>
    </xf>
    <xf numFmtId="177" fontId="1" fillId="0" borderId="2" xfId="0" applyNumberFormat="1"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wrapText="1"/>
      <protection hidden="1"/>
    </xf>
    <xf numFmtId="0" fontId="2" fillId="5" borderId="8" xfId="0" applyFont="1" applyFill="1" applyBorder="1" applyAlignment="1" applyProtection="1">
      <alignment horizontal="center" vertical="center" wrapText="1"/>
      <protection hidden="1"/>
    </xf>
    <xf numFmtId="0" fontId="2" fillId="5" borderId="9" xfId="0" applyFont="1" applyFill="1" applyBorder="1" applyAlignment="1" applyProtection="1">
      <alignment horizontal="center" vertical="center" wrapText="1"/>
      <protection hidden="1"/>
    </xf>
    <xf numFmtId="0" fontId="2" fillId="5" borderId="12" xfId="0" applyFont="1" applyFill="1" applyBorder="1" applyAlignment="1" applyProtection="1">
      <alignment horizontal="center" vertical="center" wrapText="1"/>
      <protection hidden="1"/>
    </xf>
    <xf numFmtId="0" fontId="2" fillId="5" borderId="4" xfId="0" applyFont="1" applyFill="1" applyBorder="1" applyAlignment="1" applyProtection="1">
      <alignment horizontal="center" vertical="center" wrapText="1"/>
      <protection hidden="1"/>
    </xf>
    <xf numFmtId="0" fontId="2" fillId="5" borderId="13" xfId="0" applyFont="1" applyFill="1" applyBorder="1" applyAlignment="1" applyProtection="1">
      <alignment horizontal="center" vertical="center" wrapText="1"/>
      <protection hidden="1"/>
    </xf>
    <xf numFmtId="3" fontId="1" fillId="7" borderId="2" xfId="0" applyNumberFormat="1" applyFont="1" applyFill="1" applyBorder="1" applyAlignment="1" applyProtection="1">
      <alignment horizontal="center" vertical="center"/>
      <protection locked="0"/>
    </xf>
    <xf numFmtId="0" fontId="1" fillId="7" borderId="2" xfId="0" applyFont="1" applyFill="1" applyBorder="1" applyAlignment="1" applyProtection="1">
      <alignment horizontal="center" vertical="center"/>
      <protection locked="0"/>
    </xf>
    <xf numFmtId="176" fontId="4" fillId="8" borderId="7" xfId="0" applyNumberFormat="1" applyFont="1" applyFill="1" applyBorder="1" applyAlignment="1" applyProtection="1">
      <alignment horizontal="center" vertical="center"/>
      <protection hidden="1"/>
    </xf>
    <xf numFmtId="176" fontId="4" fillId="8" borderId="8" xfId="0" applyNumberFormat="1" applyFont="1" applyFill="1" applyBorder="1" applyAlignment="1" applyProtection="1">
      <alignment horizontal="center" vertical="center"/>
      <protection hidden="1"/>
    </xf>
    <xf numFmtId="176" fontId="4" fillId="8" borderId="9" xfId="0" applyNumberFormat="1" applyFont="1" applyFill="1" applyBorder="1" applyAlignment="1" applyProtection="1">
      <alignment horizontal="center" vertical="center"/>
      <protection hidden="1"/>
    </xf>
    <xf numFmtId="176" fontId="4" fillId="8" borderId="12" xfId="0" applyNumberFormat="1" applyFont="1" applyFill="1" applyBorder="1" applyAlignment="1" applyProtection="1">
      <alignment horizontal="center" vertical="center"/>
      <protection hidden="1"/>
    </xf>
    <xf numFmtId="176" fontId="4" fillId="8" borderId="4" xfId="0" applyNumberFormat="1" applyFont="1" applyFill="1" applyBorder="1" applyAlignment="1" applyProtection="1">
      <alignment horizontal="center" vertical="center"/>
      <protection hidden="1"/>
    </xf>
    <xf numFmtId="176" fontId="4" fillId="8" borderId="13" xfId="0" applyNumberFormat="1" applyFont="1" applyFill="1" applyBorder="1" applyAlignment="1" applyProtection="1">
      <alignment horizontal="center" vertical="center"/>
      <protection hidden="1"/>
    </xf>
    <xf numFmtId="0" fontId="1" fillId="0" borderId="0" xfId="0" applyFont="1" applyAlignment="1" applyProtection="1">
      <alignment vertical="center"/>
      <protection hidden="1"/>
    </xf>
    <xf numFmtId="0" fontId="2" fillId="0" borderId="6"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0" fontId="2" fillId="5" borderId="8" xfId="0" applyFont="1" applyFill="1" applyBorder="1" applyAlignment="1" applyProtection="1">
      <alignment horizontal="center" vertical="center"/>
      <protection hidden="1"/>
    </xf>
    <xf numFmtId="0" fontId="2" fillId="5" borderId="9"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1" fillId="8" borderId="6" xfId="0" applyFont="1" applyFill="1" applyBorder="1" applyAlignment="1" applyProtection="1">
      <alignment horizontal="center" vertical="center"/>
      <protection hidden="1"/>
    </xf>
    <xf numFmtId="0" fontId="1" fillId="8" borderId="5" xfId="0" applyFont="1" applyFill="1" applyBorder="1" applyAlignment="1" applyProtection="1">
      <alignment horizontal="center" vertical="center"/>
      <protection hidden="1"/>
    </xf>
    <xf numFmtId="0" fontId="1" fillId="8" borderId="1" xfId="0" applyFont="1" applyFill="1" applyBorder="1" applyAlignment="1" applyProtection="1">
      <alignment horizontal="center" vertical="center"/>
      <protection hidden="1"/>
    </xf>
    <xf numFmtId="0" fontId="1" fillId="0" borderId="0" xfId="0" applyFont="1" applyAlignment="1" applyProtection="1">
      <alignment horizontal="left" vertical="center" shrinkToFit="1"/>
      <protection hidden="1"/>
    </xf>
    <xf numFmtId="0" fontId="1" fillId="0" borderId="0" xfId="0" applyFont="1" applyAlignment="1" applyProtection="1">
      <alignment horizontal="left" vertical="center"/>
      <protection hidden="1"/>
    </xf>
    <xf numFmtId="0" fontId="1" fillId="0" borderId="0" xfId="0" applyFont="1" applyAlignment="1" applyProtection="1">
      <alignment vertical="center" shrinkToFit="1"/>
      <protection hidden="1"/>
    </xf>
    <xf numFmtId="0" fontId="0" fillId="0" borderId="0" xfId="0" applyFont="1" applyAlignment="1" applyProtection="1">
      <alignment horizontal="left" vertical="center" shrinkToFit="1"/>
      <protection hidden="1"/>
    </xf>
    <xf numFmtId="0" fontId="0" fillId="0" borderId="20" xfId="0" applyBorder="1" applyAlignment="1">
      <alignment horizontal="center" vertical="center"/>
    </xf>
    <xf numFmtId="0" fontId="0" fillId="0" borderId="20" xfId="0" applyBorder="1" applyAlignment="1">
      <alignment vertical="center"/>
    </xf>
    <xf numFmtId="0" fontId="0" fillId="0" borderId="20" xfId="0" applyBorder="1" applyAlignment="1">
      <alignment horizontal="center" vertical="center" textRotation="255"/>
    </xf>
    <xf numFmtId="0" fontId="0" fillId="0" borderId="0" xfId="0" applyAlignment="1">
      <alignment horizontal="center"/>
    </xf>
    <xf numFmtId="38" fontId="21" fillId="0" borderId="0" xfId="1" applyFont="1" applyAlignment="1">
      <alignment horizontal="center"/>
    </xf>
    <xf numFmtId="38" fontId="0" fillId="0" borderId="0" xfId="1" applyFont="1" applyAlignment="1">
      <alignment horizontal="center"/>
    </xf>
    <xf numFmtId="0" fontId="21" fillId="0" borderId="0" xfId="0" applyFont="1" applyAlignment="1">
      <alignment horizontal="center"/>
    </xf>
    <xf numFmtId="0" fontId="25" fillId="0" borderId="0" xfId="0" applyFont="1" applyBorder="1" applyAlignment="1">
      <alignment horizontal="center" wrapText="1"/>
    </xf>
    <xf numFmtId="0" fontId="25" fillId="0" borderId="19" xfId="0" applyFont="1" applyBorder="1" applyAlignment="1">
      <alignment horizontal="center" wrapText="1"/>
    </xf>
  </cellXfs>
  <cellStyles count="2">
    <cellStyle name="桁区切り" xfId="1" builtinId="6"/>
    <cellStyle name="標準" xfId="0" builtinId="0"/>
  </cellStyles>
  <dxfs count="9">
    <dxf>
      <font>
        <condense val="0"/>
        <extend val="0"/>
        <color indexed="9"/>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85725</xdr:colOff>
      <xdr:row>54</xdr:row>
      <xdr:rowOff>76201</xdr:rowOff>
    </xdr:from>
    <xdr:to>
      <xdr:col>16</xdr:col>
      <xdr:colOff>266700</xdr:colOff>
      <xdr:row>60</xdr:row>
      <xdr:rowOff>116432</xdr:rowOff>
    </xdr:to>
    <xdr:pic>
      <xdr:nvPicPr>
        <xdr:cNvPr id="6" name="図 5">
          <a:extLst>
            <a:ext uri="{FF2B5EF4-FFF2-40B4-BE49-F238E27FC236}">
              <a16:creationId xmlns:a16="http://schemas.microsoft.com/office/drawing/2014/main" id="{301667BF-D824-4262-98C1-019371F09C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950" y="9629776"/>
          <a:ext cx="1123950" cy="1116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171450</xdr:colOff>
      <xdr:row>0</xdr:row>
      <xdr:rowOff>19050</xdr:rowOff>
    </xdr:from>
    <xdr:to>
      <xdr:col>22</xdr:col>
      <xdr:colOff>123825</xdr:colOff>
      <xdr:row>0</xdr:row>
      <xdr:rowOff>571500</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171450" y="19050"/>
          <a:ext cx="6867525" cy="552450"/>
        </a:xfrm>
        <a:prstGeom prst="horizontalScroll">
          <a:avLst>
            <a:gd name="adj" fmla="val 12500"/>
          </a:avLst>
        </a:prstGeom>
        <a:solidFill>
          <a:srgbClr val="FFFFFF"/>
        </a:solidFill>
        <a:ln w="9525">
          <a:solidFill>
            <a:srgbClr val="000000"/>
          </a:solidFill>
          <a:round/>
          <a:headEnd/>
          <a:tailEnd/>
        </a:ln>
      </xdr:spPr>
      <xdr:txBody>
        <a:bodyPr vertOverflow="clip" wrap="square" lIns="54864" tIns="0" rIns="54864" bIns="0" anchor="t" upright="1"/>
        <a:lstStyle/>
        <a:p>
          <a:pPr algn="ctr" rtl="0">
            <a:defRPr sz="1000"/>
          </a:pPr>
          <a:r>
            <a:rPr lang="ja-JP" altLang="en-US" sz="2600" b="0" i="0" u="none" strike="noStrike" baseline="0">
              <a:solidFill>
                <a:srgbClr val="000000"/>
              </a:solidFill>
              <a:latin typeface="HG創英角ｺﾞｼｯｸUB"/>
              <a:ea typeface="HG創英角ｺﾞｼｯｸUB"/>
            </a:rPr>
            <a:t>国民健康保険税概算シート</a:t>
          </a:r>
        </a:p>
      </xdr:txBody>
    </xdr:sp>
    <xdr:clientData/>
  </xdr:twoCellAnchor>
  <xdr:twoCellAnchor>
    <xdr:from>
      <xdr:col>19</xdr:col>
      <xdr:colOff>219075</xdr:colOff>
      <xdr:row>35</xdr:row>
      <xdr:rowOff>28575</xdr:rowOff>
    </xdr:from>
    <xdr:to>
      <xdr:col>20</xdr:col>
      <xdr:colOff>85725</xdr:colOff>
      <xdr:row>37</xdr:row>
      <xdr:rowOff>142875</xdr:rowOff>
    </xdr:to>
    <xdr:sp macro="" textlink="">
      <xdr:nvSpPr>
        <xdr:cNvPr id="1284" name="AutoShape 5">
          <a:extLst>
            <a:ext uri="{FF2B5EF4-FFF2-40B4-BE49-F238E27FC236}">
              <a16:creationId xmlns:a16="http://schemas.microsoft.com/office/drawing/2014/main" id="{00000000-0008-0000-0000-000004050000}"/>
            </a:ext>
          </a:extLst>
        </xdr:cNvPr>
        <xdr:cNvSpPr>
          <a:spLocks noChangeArrowheads="1"/>
        </xdr:cNvSpPr>
      </xdr:nvSpPr>
      <xdr:spPr bwMode="auto">
        <a:xfrm>
          <a:off x="6191250" y="6496050"/>
          <a:ext cx="180975" cy="457200"/>
        </a:xfrm>
        <a:prstGeom prst="upArrow">
          <a:avLst>
            <a:gd name="adj1" fmla="val 50000"/>
            <a:gd name="adj2" fmla="val 63158"/>
          </a:avLst>
        </a:prstGeom>
        <a:solidFill>
          <a:srgbClr val="00FF00"/>
        </a:solidFill>
        <a:ln w="12700">
          <a:solidFill>
            <a:srgbClr val="008000"/>
          </a:solidFill>
          <a:miter lim="800000"/>
          <a:headEnd/>
          <a:tailEnd/>
        </a:ln>
      </xdr:spPr>
    </xdr:sp>
    <xdr:clientData/>
  </xdr:twoCellAnchor>
  <xdr:twoCellAnchor>
    <xdr:from>
      <xdr:col>0</xdr:col>
      <xdr:colOff>66675</xdr:colOff>
      <xdr:row>54</xdr:row>
      <xdr:rowOff>47625</xdr:rowOff>
    </xdr:from>
    <xdr:to>
      <xdr:col>12</xdr:col>
      <xdr:colOff>219075</xdr:colOff>
      <xdr:row>58</xdr:row>
      <xdr:rowOff>95250</xdr:rowOff>
    </xdr:to>
    <xdr:sp macro="" textlink="">
      <xdr:nvSpPr>
        <xdr:cNvPr id="1286" name="AutoShape 96">
          <a:extLst>
            <a:ext uri="{FF2B5EF4-FFF2-40B4-BE49-F238E27FC236}">
              <a16:creationId xmlns:a16="http://schemas.microsoft.com/office/drawing/2014/main" id="{00000000-0008-0000-0000-000006050000}"/>
            </a:ext>
          </a:extLst>
        </xdr:cNvPr>
        <xdr:cNvSpPr>
          <a:spLocks noChangeArrowheads="1"/>
        </xdr:cNvSpPr>
      </xdr:nvSpPr>
      <xdr:spPr bwMode="auto">
        <a:xfrm>
          <a:off x="66675" y="9601200"/>
          <a:ext cx="3924300" cy="781050"/>
        </a:xfrm>
        <a:prstGeom prst="wedgeRoundRectCallout">
          <a:avLst>
            <a:gd name="adj1" fmla="val 55826"/>
            <a:gd name="adj2" fmla="val 18294"/>
            <a:gd name="adj3" fmla="val 16667"/>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257175</xdr:colOff>
      <xdr:row>58</xdr:row>
      <xdr:rowOff>66675</xdr:rowOff>
    </xdr:from>
    <xdr:to>
      <xdr:col>20</xdr:col>
      <xdr:colOff>238125</xdr:colOff>
      <xdr:row>61</xdr:row>
      <xdr:rowOff>19050</xdr:rowOff>
    </xdr:to>
    <xdr:sp macro="" textlink="">
      <xdr:nvSpPr>
        <xdr:cNvPr id="2" name="テキスト ボックス 1">
          <a:extLst>
            <a:ext uri="{FF2B5EF4-FFF2-40B4-BE49-F238E27FC236}">
              <a16:creationId xmlns:a16="http://schemas.microsoft.com/office/drawing/2014/main" id="{7F2870C7-8EBB-4D46-97DD-0D5F62435D11}"/>
            </a:ext>
          </a:extLst>
        </xdr:cNvPr>
        <xdr:cNvSpPr txBox="1"/>
      </xdr:nvSpPr>
      <xdr:spPr>
        <a:xfrm>
          <a:off x="5286375" y="10353675"/>
          <a:ext cx="12382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eiryo UI" panose="020B0604030504040204" pitchFamily="50" charset="-128"/>
              <a:ea typeface="Meiryo UI" panose="020B0604030504040204" pitchFamily="50" charset="-128"/>
            </a:rPr>
            <a:t>小松市イメージキャラクター</a:t>
          </a:r>
          <a:endParaRPr kumimoji="1" lang="en-US" altLang="ja-JP" sz="600">
            <a:latin typeface="Meiryo UI" panose="020B0604030504040204" pitchFamily="50" charset="-128"/>
            <a:ea typeface="Meiryo UI" panose="020B0604030504040204" pitchFamily="50" charset="-128"/>
          </a:endParaRPr>
        </a:p>
        <a:p>
          <a:r>
            <a:rPr kumimoji="1" lang="ja-JP" altLang="en-US" sz="600">
              <a:latin typeface="Meiryo UI" panose="020B0604030504040204" pitchFamily="50" charset="-128"/>
              <a:ea typeface="Meiryo UI" panose="020B0604030504040204" pitchFamily="50" charset="-128"/>
            </a:rPr>
            <a:t>カブッキー</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A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295275</xdr:colOff>
      <xdr:row>18</xdr:row>
      <xdr:rowOff>28575</xdr:rowOff>
    </xdr:from>
    <xdr:to>
      <xdr:col>6</xdr:col>
      <xdr:colOff>352425</xdr:colOff>
      <xdr:row>22</xdr:row>
      <xdr:rowOff>123825</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3533775" y="3114675"/>
          <a:ext cx="57150" cy="781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409574</xdr:colOff>
      <xdr:row>19</xdr:row>
      <xdr:rowOff>28576</xdr:rowOff>
    </xdr:from>
    <xdr:to>
      <xdr:col>11</xdr:col>
      <xdr:colOff>342899</xdr:colOff>
      <xdr:row>22</xdr:row>
      <xdr:rowOff>38100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648074" y="3286126"/>
          <a:ext cx="419100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本来、税扶養等の状況で調整控除があるが、その部分を問うと複雑になりすぎるのでこの部分は使用しない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58"/>
  <sheetViews>
    <sheetView tabSelected="1" view="pageBreakPreview" zoomScaleNormal="100" zoomScaleSheetLayoutView="100" workbookViewId="0">
      <selection activeCell="D24" sqref="D24:E24"/>
    </sheetView>
  </sheetViews>
  <sheetFormatPr defaultColWidth="4.125" defaultRowHeight="13.5" customHeight="1" x14ac:dyDescent="0.15"/>
  <cols>
    <col min="1" max="24" width="4.125" style="1" customWidth="1"/>
    <col min="25" max="57" width="4.125" style="1" hidden="1" customWidth="1"/>
    <col min="58" max="61" width="0" style="1" hidden="1" customWidth="1"/>
    <col min="62" max="16384" width="4.125" style="1"/>
  </cols>
  <sheetData>
    <row r="1" spans="1:29" ht="46.5" customHeight="1" x14ac:dyDescent="0.15">
      <c r="A1" s="120"/>
      <c r="B1" s="120"/>
      <c r="C1" s="120"/>
      <c r="D1" s="120"/>
      <c r="E1" s="120"/>
      <c r="F1" s="120"/>
      <c r="G1" s="120"/>
      <c r="H1" s="120"/>
      <c r="I1" s="120"/>
      <c r="J1" s="120"/>
      <c r="K1" s="120"/>
      <c r="L1" s="120"/>
      <c r="M1" s="120"/>
      <c r="N1" s="120"/>
      <c r="O1" s="120"/>
      <c r="P1" s="120"/>
      <c r="Q1" s="120"/>
      <c r="R1" s="120"/>
      <c r="S1" s="120"/>
      <c r="T1" s="120"/>
      <c r="U1" s="120"/>
      <c r="V1" s="120"/>
      <c r="W1" s="120"/>
    </row>
    <row r="2" spans="1:29" ht="13.5" customHeight="1" x14ac:dyDescent="0.15">
      <c r="A2" s="121" t="s">
        <v>55</v>
      </c>
      <c r="B2" s="120" t="str">
        <f>"小松市の国民健康保険に加入した場合の"&amp;管理用!E5&amp;"年度（"&amp;管理用!E5&amp;"年4月から"&amp;管理用!E6&amp;"年3月までの加入）"</f>
        <v>小松市の国民健康保険に加入した場合の令和7年度（令和7年4月から令和8年3月までの加入）</v>
      </c>
      <c r="C2" s="120"/>
      <c r="D2" s="120"/>
      <c r="E2" s="120"/>
      <c r="F2" s="120"/>
      <c r="G2" s="120"/>
      <c r="H2" s="120"/>
      <c r="I2" s="120"/>
      <c r="J2" s="120"/>
      <c r="K2" s="120"/>
      <c r="L2" s="120"/>
      <c r="M2" s="120"/>
      <c r="N2" s="120"/>
      <c r="O2" s="120"/>
      <c r="P2" s="120"/>
      <c r="Q2" s="120"/>
      <c r="R2" s="120"/>
      <c r="S2" s="120"/>
      <c r="T2" s="120"/>
      <c r="U2" s="120"/>
      <c r="V2" s="120"/>
      <c r="W2" s="120"/>
    </row>
    <row r="3" spans="1:29" ht="13.5" customHeight="1" x14ac:dyDescent="0.15">
      <c r="A3" s="120"/>
      <c r="B3" s="108" t="s">
        <v>145</v>
      </c>
      <c r="C3" s="120"/>
      <c r="D3" s="120"/>
      <c r="E3" s="120"/>
      <c r="F3" s="120"/>
      <c r="G3" s="120"/>
      <c r="H3" s="120"/>
      <c r="I3" s="120"/>
      <c r="J3" s="120"/>
      <c r="K3" s="120"/>
      <c r="L3" s="120"/>
      <c r="M3" s="120"/>
      <c r="N3" s="120"/>
      <c r="O3" s="120"/>
      <c r="P3" s="120"/>
      <c r="Q3" s="120"/>
      <c r="R3" s="120"/>
      <c r="S3" s="120"/>
      <c r="T3" s="120"/>
      <c r="U3" s="120"/>
      <c r="V3" s="120"/>
      <c r="W3" s="120"/>
    </row>
    <row r="4" spans="1:29" ht="13.5" customHeight="1" x14ac:dyDescent="0.15">
      <c r="A4" s="121" t="s">
        <v>55</v>
      </c>
      <c r="B4" s="122" t="s">
        <v>50</v>
      </c>
      <c r="C4" s="120"/>
      <c r="D4" s="120"/>
      <c r="E4" s="120"/>
      <c r="F4" s="120"/>
      <c r="G4" s="120"/>
      <c r="H4" s="120"/>
      <c r="I4" s="120"/>
      <c r="J4" s="120"/>
      <c r="K4" s="120"/>
      <c r="L4" s="120"/>
      <c r="M4" s="120"/>
      <c r="N4" s="120"/>
      <c r="O4" s="120"/>
      <c r="P4" s="120"/>
      <c r="Q4" s="120"/>
      <c r="R4" s="120"/>
      <c r="S4" s="120"/>
      <c r="T4" s="120"/>
      <c r="U4" s="120"/>
      <c r="V4" s="120"/>
      <c r="W4" s="120"/>
    </row>
    <row r="5" spans="1:29" ht="17.25" x14ac:dyDescent="0.2">
      <c r="A5" s="120"/>
      <c r="B5" s="123" t="s">
        <v>51</v>
      </c>
      <c r="C5" s="120"/>
      <c r="D5" s="120"/>
      <c r="E5" s="120"/>
      <c r="F5" s="120"/>
      <c r="G5" s="120"/>
      <c r="H5" s="120"/>
      <c r="I5" s="120"/>
      <c r="J5" s="120"/>
      <c r="K5" s="120"/>
      <c r="L5" s="120"/>
      <c r="M5" s="120"/>
      <c r="N5" s="120"/>
      <c r="O5" s="120"/>
      <c r="P5" s="120"/>
      <c r="Q5" s="120"/>
      <c r="R5" s="120"/>
      <c r="S5" s="120"/>
      <c r="T5" s="120"/>
      <c r="U5" s="120"/>
      <c r="V5" s="120"/>
      <c r="W5" s="120"/>
    </row>
    <row r="6" spans="1:29" ht="13.5" customHeight="1" x14ac:dyDescent="0.15">
      <c r="A6" s="122">
        <v>1</v>
      </c>
      <c r="B6" s="124"/>
      <c r="C6" s="122" t="s">
        <v>65</v>
      </c>
      <c r="D6" s="120"/>
      <c r="E6" s="120"/>
      <c r="F6" s="120"/>
      <c r="G6" s="120"/>
      <c r="H6" s="120"/>
      <c r="I6" s="120"/>
      <c r="J6" s="120"/>
      <c r="K6" s="120"/>
      <c r="L6" s="120"/>
      <c r="M6" s="120"/>
      <c r="N6" s="120"/>
      <c r="O6" s="120"/>
      <c r="P6" s="120"/>
      <c r="Q6" s="120"/>
      <c r="R6" s="120"/>
      <c r="S6" s="120"/>
      <c r="T6" s="120"/>
      <c r="U6" s="120"/>
      <c r="V6" s="120"/>
      <c r="W6" s="120"/>
    </row>
    <row r="7" spans="1:29" ht="13.5" customHeight="1" x14ac:dyDescent="0.15">
      <c r="A7" s="122">
        <v>2</v>
      </c>
      <c r="B7" s="125" t="s">
        <v>159</v>
      </c>
      <c r="C7" s="120"/>
      <c r="D7" s="120"/>
      <c r="E7" s="120"/>
      <c r="F7" s="120"/>
      <c r="G7" s="120"/>
      <c r="H7" s="120"/>
      <c r="I7" s="120"/>
      <c r="J7" s="120"/>
      <c r="K7" s="120"/>
      <c r="L7" s="120"/>
      <c r="M7" s="120"/>
      <c r="N7" s="120"/>
      <c r="O7" s="120"/>
      <c r="P7" s="120"/>
      <c r="Q7" s="120"/>
      <c r="R7" s="120"/>
      <c r="S7" s="120"/>
      <c r="T7" s="120"/>
      <c r="U7" s="120"/>
      <c r="V7" s="120"/>
      <c r="W7" s="120"/>
    </row>
    <row r="8" spans="1:29" x14ac:dyDescent="0.15">
      <c r="A8" s="126">
        <v>3</v>
      </c>
      <c r="B8" s="107" t="s">
        <v>90</v>
      </c>
      <c r="C8" s="120"/>
      <c r="D8" s="120"/>
      <c r="E8" s="127"/>
      <c r="F8" s="127"/>
      <c r="G8" s="127"/>
      <c r="H8" s="127"/>
      <c r="I8" s="127"/>
      <c r="J8" s="127"/>
      <c r="K8" s="127"/>
      <c r="L8" s="127"/>
      <c r="M8" s="127"/>
      <c r="N8" s="127"/>
      <c r="O8" s="127"/>
      <c r="P8" s="127"/>
      <c r="Q8" s="127"/>
      <c r="R8" s="127"/>
      <c r="S8" s="127"/>
      <c r="T8" s="127"/>
      <c r="U8" s="127"/>
      <c r="V8" s="127"/>
      <c r="W8" s="128"/>
      <c r="X8" s="91"/>
      <c r="Y8" s="91"/>
      <c r="AC8" s="91"/>
    </row>
    <row r="9" spans="1:29" ht="13.5" customHeight="1" x14ac:dyDescent="0.15">
      <c r="A9" s="126"/>
      <c r="B9" s="129" t="s">
        <v>146</v>
      </c>
      <c r="C9" s="120"/>
      <c r="D9" s="120"/>
      <c r="E9" s="128"/>
      <c r="F9" s="128"/>
      <c r="G9" s="128"/>
      <c r="H9" s="128"/>
      <c r="I9" s="128"/>
      <c r="J9" s="128"/>
      <c r="K9" s="128"/>
      <c r="L9" s="128"/>
      <c r="M9" s="128"/>
      <c r="N9" s="128"/>
      <c r="O9" s="128"/>
      <c r="P9" s="128"/>
      <c r="Q9" s="128"/>
      <c r="R9" s="128"/>
      <c r="S9" s="128"/>
      <c r="T9" s="128"/>
      <c r="U9" s="128"/>
      <c r="V9" s="128"/>
      <c r="W9" s="120"/>
    </row>
    <row r="10" spans="1:29" ht="13.5" customHeight="1" x14ac:dyDescent="0.15">
      <c r="A10" s="122">
        <v>4</v>
      </c>
      <c r="B10" s="130" t="s">
        <v>160</v>
      </c>
      <c r="C10" s="120"/>
      <c r="D10" s="120"/>
      <c r="E10" s="120"/>
      <c r="F10" s="120"/>
      <c r="G10" s="120"/>
      <c r="H10" s="120"/>
      <c r="I10" s="120"/>
      <c r="J10" s="120"/>
      <c r="K10" s="120"/>
      <c r="L10" s="120"/>
      <c r="M10" s="120"/>
      <c r="N10" s="120"/>
      <c r="O10" s="120"/>
      <c r="P10" s="120"/>
      <c r="Q10" s="120"/>
      <c r="R10" s="120"/>
      <c r="S10" s="120"/>
      <c r="T10" s="120"/>
      <c r="U10" s="120"/>
      <c r="V10" s="120"/>
      <c r="W10" s="120"/>
    </row>
    <row r="11" spans="1:29" ht="13.5" customHeight="1" x14ac:dyDescent="0.15">
      <c r="A11" s="122">
        <v>5</v>
      </c>
      <c r="B11" s="131" t="s">
        <v>54</v>
      </c>
      <c r="C11" s="120"/>
      <c r="D11" s="120"/>
      <c r="E11" s="120"/>
      <c r="F11" s="120"/>
      <c r="G11" s="120"/>
      <c r="H11" s="120"/>
      <c r="I11" s="120"/>
      <c r="J11" s="120"/>
      <c r="K11" s="120"/>
      <c r="L11" s="120"/>
      <c r="M11" s="120"/>
      <c r="N11" s="120"/>
      <c r="O11" s="120"/>
      <c r="P11" s="120"/>
      <c r="Q11" s="120"/>
      <c r="R11" s="120"/>
      <c r="S11" s="120"/>
      <c r="T11" s="120"/>
      <c r="U11" s="120"/>
      <c r="V11" s="120"/>
      <c r="W11" s="120"/>
    </row>
    <row r="12" spans="1:29" ht="13.5" customHeight="1" x14ac:dyDescent="0.15">
      <c r="A12" s="122">
        <v>6</v>
      </c>
      <c r="B12" s="132" t="str">
        <f>"国保税の最高限度額は、"&amp;管理用!E27&amp;"円（医療分："&amp;管理用!E18&amp;"円＋支援分："&amp;管理用!E22&amp;"円＋介護分："&amp;管理用!E26&amp;"円）です。"</f>
        <v>国保税の最高限度額は、106万円（医療分：65万円＋支援分：24万円＋介護分：17万円）です。</v>
      </c>
      <c r="C12" s="120"/>
      <c r="D12" s="120"/>
      <c r="E12" s="120"/>
      <c r="F12" s="120"/>
      <c r="G12" s="120"/>
      <c r="H12" s="120"/>
      <c r="I12" s="120"/>
      <c r="J12" s="120"/>
      <c r="K12" s="120"/>
      <c r="L12" s="120"/>
      <c r="M12" s="120"/>
      <c r="N12" s="120"/>
      <c r="O12" s="120"/>
      <c r="P12" s="120"/>
      <c r="Q12" s="120"/>
      <c r="R12" s="120"/>
      <c r="S12" s="120"/>
      <c r="T12" s="120"/>
      <c r="U12" s="120"/>
      <c r="V12" s="120"/>
      <c r="W12" s="120"/>
    </row>
    <row r="13" spans="1:29" ht="13.5" customHeight="1" x14ac:dyDescent="0.15">
      <c r="A13" s="120"/>
      <c r="B13" s="120"/>
      <c r="C13" s="120"/>
      <c r="D13" s="120"/>
      <c r="E13" s="133"/>
      <c r="F13" s="133"/>
      <c r="G13" s="133"/>
      <c r="H13" s="133"/>
      <c r="I13" s="133"/>
      <c r="J13" s="133"/>
      <c r="K13" s="133"/>
      <c r="L13" s="133"/>
      <c r="M13" s="133"/>
      <c r="N13" s="133"/>
      <c r="O13" s="133"/>
      <c r="P13" s="133"/>
      <c r="Q13" s="133"/>
      <c r="R13" s="133"/>
      <c r="S13" s="133"/>
      <c r="T13" s="133"/>
      <c r="U13" s="133"/>
      <c r="V13" s="133"/>
      <c r="W13" s="133"/>
      <c r="X13" s="2"/>
      <c r="Y13" s="2"/>
      <c r="AC13" s="2"/>
    </row>
    <row r="14" spans="1:29" ht="13.5" customHeight="1" x14ac:dyDescent="0.15">
      <c r="A14" s="134" t="s">
        <v>75</v>
      </c>
      <c r="B14" s="127" t="s">
        <v>52</v>
      </c>
      <c r="C14" s="120"/>
      <c r="D14" s="120"/>
      <c r="E14" s="30"/>
      <c r="F14" s="30"/>
      <c r="G14" s="30"/>
      <c r="H14" s="30"/>
      <c r="I14" s="30"/>
      <c r="J14" s="30"/>
      <c r="K14" s="30"/>
      <c r="L14" s="30"/>
      <c r="M14" s="30"/>
      <c r="N14" s="30"/>
      <c r="O14" s="30"/>
      <c r="P14" s="30"/>
      <c r="Q14" s="30"/>
      <c r="R14" s="30"/>
      <c r="S14" s="30"/>
      <c r="T14" s="30"/>
      <c r="U14" s="30"/>
      <c r="V14" s="30"/>
      <c r="W14" s="30"/>
      <c r="X14" s="3"/>
      <c r="Y14" s="3"/>
      <c r="AC14" s="3"/>
    </row>
    <row r="15" spans="1:29" ht="13.5" customHeight="1" x14ac:dyDescent="0.15">
      <c r="A15" s="134"/>
      <c r="B15" s="30" t="s">
        <v>53</v>
      </c>
      <c r="C15" s="120"/>
      <c r="D15" s="120"/>
      <c r="E15" s="120"/>
      <c r="F15" s="120"/>
      <c r="G15" s="120"/>
      <c r="H15" s="120"/>
      <c r="I15" s="120"/>
      <c r="J15" s="120"/>
      <c r="K15" s="120"/>
      <c r="L15" s="120"/>
      <c r="M15" s="120"/>
      <c r="N15" s="120"/>
      <c r="O15" s="120"/>
      <c r="P15" s="120"/>
      <c r="Q15" s="120"/>
      <c r="R15" s="120"/>
      <c r="S15" s="120"/>
      <c r="T15" s="120"/>
      <c r="U15" s="120"/>
      <c r="V15" s="120"/>
      <c r="W15" s="120"/>
    </row>
    <row r="16" spans="1:29" s="5" customFormat="1" ht="13.5" customHeight="1" x14ac:dyDescent="0.15">
      <c r="A16" s="181" t="s">
        <v>83</v>
      </c>
      <c r="B16" s="181"/>
      <c r="C16" s="181"/>
      <c r="D16" s="181" t="s">
        <v>47</v>
      </c>
      <c r="E16" s="181"/>
      <c r="F16" s="181"/>
      <c r="G16" s="182" t="s">
        <v>30</v>
      </c>
      <c r="H16" s="182"/>
      <c r="I16" s="182"/>
      <c r="J16" s="182"/>
      <c r="K16" s="205" t="s">
        <v>172</v>
      </c>
      <c r="L16" s="206"/>
      <c r="M16" s="206"/>
      <c r="N16" s="206"/>
      <c r="O16" s="207"/>
      <c r="P16" s="175" t="s">
        <v>173</v>
      </c>
      <c r="Q16" s="175"/>
      <c r="R16" s="175"/>
      <c r="S16" s="175"/>
      <c r="T16" s="145" t="s">
        <v>84</v>
      </c>
      <c r="U16" s="146"/>
      <c r="V16" s="85"/>
      <c r="W16" s="85"/>
      <c r="X16" s="4"/>
    </row>
    <row r="17" spans="1:60" ht="13.5" customHeight="1" x14ac:dyDescent="0.15">
      <c r="A17" s="181"/>
      <c r="B17" s="181"/>
      <c r="C17" s="181"/>
      <c r="D17" s="186" t="str">
        <f>"※1歳未満の子供は0歳で入力してください。"&amp;CHAR(10)&amp;"※加入時6歳であっても"&amp;管理用!E12&amp;"以降生まれの子供は5歳で入力してください"</f>
        <v>※1歳未満の子供は0歳で入力してください。
※加入時6歳であっても平成31年4月2日以降生まれの子供は5歳で入力してください</v>
      </c>
      <c r="E17" s="187"/>
      <c r="F17" s="188"/>
      <c r="G17" s="195" t="str">
        <f>"※"&amp;管理用!E9&amp;"年中の総支給額です。"&amp;CHAR(10)&amp;"※2ヶ所以上の事業所から給与を受けている場合は合計額を入力してください。"</f>
        <v>※令和6年中の総支給額です。
※2ヶ所以上の事業所から給与を受けている場合は合計額を入力してください。</v>
      </c>
      <c r="H17" s="195"/>
      <c r="I17" s="195"/>
      <c r="J17" s="195"/>
      <c r="K17" s="196" t="str">
        <f>"※"&amp;管理用!E9&amp;"年中の総支給額です。"&amp;CHAR(10)&amp;"※2種類以上の年金を受給している場合は合計額を入力してください。"&amp;CHAR(10)&amp;"※収入額の右の欄は、"&amp;管理用!E10&amp;"以降生まれの人は「以降」、"&amp;管理用!E11&amp;"以前生まれの人は「以前」を選択してください。"</f>
        <v>※令和6年中の総支給額です。
※2種類以上の年金を受給している場合は合計額を入力してください。
※収入額の右の欄は、昭和35年1月2日以降生まれの人は「以降」、昭和35年1月1日以前生まれの人は「以前」を選択してください。</v>
      </c>
      <c r="L17" s="197"/>
      <c r="M17" s="197"/>
      <c r="N17" s="197"/>
      <c r="O17" s="198"/>
      <c r="P17" s="195" t="s">
        <v>71</v>
      </c>
      <c r="Q17" s="195"/>
      <c r="R17" s="195"/>
      <c r="S17" s="195"/>
      <c r="T17" s="147" t="s">
        <v>85</v>
      </c>
      <c r="U17" s="147"/>
      <c r="V17" s="84"/>
      <c r="W17" s="84"/>
      <c r="X17" s="6"/>
    </row>
    <row r="18" spans="1:60" ht="13.5" customHeight="1" x14ac:dyDescent="0.15">
      <c r="A18" s="181"/>
      <c r="B18" s="181"/>
      <c r="C18" s="181"/>
      <c r="D18" s="189"/>
      <c r="E18" s="190"/>
      <c r="F18" s="191"/>
      <c r="G18" s="195"/>
      <c r="H18" s="195"/>
      <c r="I18" s="195"/>
      <c r="J18" s="195"/>
      <c r="K18" s="199"/>
      <c r="L18" s="200"/>
      <c r="M18" s="200"/>
      <c r="N18" s="200"/>
      <c r="O18" s="201"/>
      <c r="P18" s="195"/>
      <c r="Q18" s="195"/>
      <c r="R18" s="195"/>
      <c r="S18" s="195"/>
      <c r="T18" s="147"/>
      <c r="U18" s="147"/>
      <c r="V18" s="84"/>
      <c r="W18" s="84"/>
      <c r="X18" s="6"/>
    </row>
    <row r="19" spans="1:60" ht="13.5" customHeight="1" x14ac:dyDescent="0.15">
      <c r="A19" s="181"/>
      <c r="B19" s="181"/>
      <c r="C19" s="181"/>
      <c r="D19" s="189"/>
      <c r="E19" s="190"/>
      <c r="F19" s="191"/>
      <c r="G19" s="195"/>
      <c r="H19" s="195"/>
      <c r="I19" s="195"/>
      <c r="J19" s="195"/>
      <c r="K19" s="199"/>
      <c r="L19" s="200"/>
      <c r="M19" s="200"/>
      <c r="N19" s="200"/>
      <c r="O19" s="201"/>
      <c r="P19" s="195"/>
      <c r="Q19" s="195"/>
      <c r="R19" s="195"/>
      <c r="S19" s="195"/>
      <c r="T19" s="147"/>
      <c r="U19" s="147"/>
      <c r="V19" s="84"/>
      <c r="W19" s="84"/>
      <c r="X19" s="6"/>
    </row>
    <row r="20" spans="1:60" ht="13.5" customHeight="1" x14ac:dyDescent="0.15">
      <c r="A20" s="181"/>
      <c r="B20" s="181"/>
      <c r="C20" s="181"/>
      <c r="D20" s="189"/>
      <c r="E20" s="190"/>
      <c r="F20" s="191"/>
      <c r="G20" s="195"/>
      <c r="H20" s="195"/>
      <c r="I20" s="195"/>
      <c r="J20" s="195"/>
      <c r="K20" s="199"/>
      <c r="L20" s="200"/>
      <c r="M20" s="200"/>
      <c r="N20" s="200"/>
      <c r="O20" s="201"/>
      <c r="P20" s="195"/>
      <c r="Q20" s="195"/>
      <c r="R20" s="195"/>
      <c r="S20" s="195"/>
      <c r="T20" s="147"/>
      <c r="U20" s="147"/>
      <c r="V20" s="84"/>
      <c r="W20" s="84"/>
      <c r="X20" s="6"/>
    </row>
    <row r="21" spans="1:60" ht="13.5" customHeight="1" x14ac:dyDescent="0.15">
      <c r="A21" s="181"/>
      <c r="B21" s="181"/>
      <c r="C21" s="181"/>
      <c r="D21" s="189"/>
      <c r="E21" s="190"/>
      <c r="F21" s="191"/>
      <c r="G21" s="195"/>
      <c r="H21" s="195"/>
      <c r="I21" s="195"/>
      <c r="J21" s="195"/>
      <c r="K21" s="199"/>
      <c r="L21" s="200"/>
      <c r="M21" s="200"/>
      <c r="N21" s="200"/>
      <c r="O21" s="201"/>
      <c r="P21" s="195"/>
      <c r="Q21" s="195"/>
      <c r="R21" s="195"/>
      <c r="S21" s="195"/>
      <c r="T21" s="147"/>
      <c r="U21" s="147"/>
      <c r="V21" s="84"/>
      <c r="W21" s="84"/>
      <c r="X21" s="6"/>
    </row>
    <row r="22" spans="1:60" ht="13.5" customHeight="1" x14ac:dyDescent="0.15">
      <c r="A22" s="181"/>
      <c r="B22" s="181"/>
      <c r="C22" s="181"/>
      <c r="D22" s="189"/>
      <c r="E22" s="190"/>
      <c r="F22" s="191"/>
      <c r="G22" s="195"/>
      <c r="H22" s="195"/>
      <c r="I22" s="195"/>
      <c r="J22" s="195"/>
      <c r="K22" s="199"/>
      <c r="L22" s="200"/>
      <c r="M22" s="200"/>
      <c r="N22" s="200"/>
      <c r="O22" s="201"/>
      <c r="P22" s="195"/>
      <c r="Q22" s="195"/>
      <c r="R22" s="195"/>
      <c r="S22" s="195"/>
      <c r="T22" s="147"/>
      <c r="U22" s="147"/>
      <c r="V22" s="84"/>
      <c r="W22" s="84"/>
      <c r="X22" s="6"/>
      <c r="Y22" s="7"/>
      <c r="Z22" s="7"/>
      <c r="AA22" s="7"/>
      <c r="AB22" s="7"/>
      <c r="AC22" s="151" t="s">
        <v>94</v>
      </c>
      <c r="AD22" s="151"/>
      <c r="AE22" s="151"/>
      <c r="AF22" s="151"/>
      <c r="AG22" s="7"/>
      <c r="AH22" s="7"/>
      <c r="AI22" s="7"/>
      <c r="AJ22" s="7"/>
      <c r="AK22" s="8"/>
      <c r="AL22" s="8"/>
      <c r="AM22" s="8"/>
      <c r="AN22" s="8"/>
      <c r="AO22" s="7"/>
      <c r="AP22" s="7"/>
      <c r="AQ22" s="7"/>
      <c r="AR22" s="7"/>
      <c r="AS22" s="7"/>
      <c r="AT22" s="7"/>
      <c r="AU22" s="7"/>
      <c r="AV22" s="7"/>
      <c r="AW22" s="7"/>
      <c r="AX22" s="7"/>
      <c r="AY22" s="7"/>
      <c r="AZ22" s="7"/>
    </row>
    <row r="23" spans="1:60" ht="13.5" customHeight="1" x14ac:dyDescent="0.15">
      <c r="A23" s="181"/>
      <c r="B23" s="181"/>
      <c r="C23" s="181"/>
      <c r="D23" s="192"/>
      <c r="E23" s="193"/>
      <c r="F23" s="194"/>
      <c r="G23" s="195"/>
      <c r="H23" s="195"/>
      <c r="I23" s="195"/>
      <c r="J23" s="195"/>
      <c r="K23" s="202"/>
      <c r="L23" s="203"/>
      <c r="M23" s="203"/>
      <c r="N23" s="203"/>
      <c r="O23" s="204"/>
      <c r="P23" s="195"/>
      <c r="Q23" s="195"/>
      <c r="R23" s="195"/>
      <c r="S23" s="195"/>
      <c r="T23" s="147"/>
      <c r="U23" s="147"/>
      <c r="V23" s="84"/>
      <c r="W23" s="84"/>
      <c r="X23" s="6"/>
      <c r="Y23" s="150" t="s">
        <v>37</v>
      </c>
      <c r="Z23" s="150"/>
      <c r="AA23" s="150"/>
      <c r="AB23" s="150"/>
      <c r="AC23" s="150" t="s">
        <v>37</v>
      </c>
      <c r="AD23" s="150"/>
      <c r="AE23" s="150"/>
      <c r="AF23" s="150"/>
      <c r="AG23" s="150" t="s">
        <v>38</v>
      </c>
      <c r="AH23" s="150"/>
      <c r="AI23" s="150"/>
      <c r="AJ23" s="150"/>
      <c r="AK23" s="150" t="s">
        <v>31</v>
      </c>
      <c r="AL23" s="150"/>
      <c r="AM23" s="150"/>
      <c r="AN23" s="150"/>
      <c r="AO23" s="210" t="s">
        <v>39</v>
      </c>
      <c r="AP23" s="210"/>
      <c r="AQ23" s="210"/>
      <c r="AR23" s="210"/>
      <c r="AS23" s="208" t="s">
        <v>43</v>
      </c>
      <c r="AT23" s="208"/>
      <c r="AU23" s="208"/>
      <c r="AV23" s="209"/>
      <c r="AW23" s="211" t="s">
        <v>175</v>
      </c>
      <c r="AX23" s="208"/>
      <c r="AY23" s="208"/>
      <c r="AZ23" s="208"/>
      <c r="BA23" s="210" t="s">
        <v>44</v>
      </c>
      <c r="BB23" s="210"/>
      <c r="BC23" s="210"/>
      <c r="BD23" s="210"/>
      <c r="BE23" s="210" t="s">
        <v>143</v>
      </c>
      <c r="BF23" s="210"/>
      <c r="BG23" s="210"/>
      <c r="BH23" s="210"/>
    </row>
    <row r="24" spans="1:60" ht="13.5" customHeight="1" x14ac:dyDescent="0.15">
      <c r="A24" s="184" t="s">
        <v>32</v>
      </c>
      <c r="B24" s="184"/>
      <c r="C24" s="184"/>
      <c r="D24" s="173"/>
      <c r="E24" s="174"/>
      <c r="F24" s="10" t="s">
        <v>33</v>
      </c>
      <c r="G24" s="170"/>
      <c r="H24" s="171"/>
      <c r="I24" s="171"/>
      <c r="J24" s="11" t="s">
        <v>24</v>
      </c>
      <c r="K24" s="170"/>
      <c r="L24" s="171"/>
      <c r="M24" s="171"/>
      <c r="N24" s="82" t="s">
        <v>24</v>
      </c>
      <c r="O24" s="83" t="s">
        <v>64</v>
      </c>
      <c r="P24" s="170"/>
      <c r="Q24" s="171"/>
      <c r="R24" s="171"/>
      <c r="S24" s="11" t="s">
        <v>24</v>
      </c>
      <c r="T24" s="148"/>
      <c r="U24" s="148"/>
      <c r="V24" s="18"/>
      <c r="W24" s="12"/>
      <c r="X24" s="9"/>
      <c r="Y24" s="152">
        <f>世１!$F$29</f>
        <v>0</v>
      </c>
      <c r="Z24" s="153"/>
      <c r="AA24" s="153"/>
      <c r="AB24" s="11" t="s">
        <v>24</v>
      </c>
      <c r="AC24" s="152">
        <f>IF(T24="○",ROUNDDOWN(Y24*0.3,0),Y24)</f>
        <v>0</v>
      </c>
      <c r="AD24" s="153"/>
      <c r="AE24" s="153"/>
      <c r="AF24" s="11" t="s">
        <v>24</v>
      </c>
      <c r="AG24" s="162">
        <f>世１!$F$59</f>
        <v>0</v>
      </c>
      <c r="AH24" s="163"/>
      <c r="AI24" s="163"/>
      <c r="AJ24" s="11" t="s">
        <v>24</v>
      </c>
      <c r="AK24" s="162">
        <f>P24</f>
        <v>0</v>
      </c>
      <c r="AL24" s="163"/>
      <c r="AM24" s="163"/>
      <c r="AN24" s="11" t="s">
        <v>24</v>
      </c>
      <c r="AO24" s="162">
        <f>MAX(AC24+AG24+AK24,0)</f>
        <v>0</v>
      </c>
      <c r="AP24" s="163"/>
      <c r="AQ24" s="163"/>
      <c r="AR24" s="11" t="s">
        <v>24</v>
      </c>
      <c r="AS24" s="162">
        <f>MAX(AG24-IF(O24="以前",150000,0),0)</f>
        <v>0</v>
      </c>
      <c r="AT24" s="163"/>
      <c r="AU24" s="163"/>
      <c r="AV24" s="57" t="s">
        <v>24</v>
      </c>
      <c r="AW24" s="162">
        <f>IF(T24="○",ROUNDDOWN(世１!$H$29*0.3,0),世１!$H$29)</f>
        <v>0</v>
      </c>
      <c r="AX24" s="163"/>
      <c r="AY24" s="163"/>
      <c r="AZ24" s="11" t="s">
        <v>24</v>
      </c>
      <c r="BA24" s="162">
        <f>MAX(AW24+AS24+AK24,0)</f>
        <v>0</v>
      </c>
      <c r="BB24" s="163"/>
      <c r="BC24" s="163"/>
      <c r="BD24" s="11" t="s">
        <v>24</v>
      </c>
      <c r="BE24" s="210">
        <f t="shared" ref="BE24:BE30" si="0">IF(AND(D24&lt;&gt;"",OR(G24&gt;550000,AND(O24="以降",K24&gt;600000),AND(O24="以前",K24&gt;1250000))),1,0)</f>
        <v>0</v>
      </c>
      <c r="BF24" s="210"/>
      <c r="BG24" s="210"/>
      <c r="BH24" s="210"/>
    </row>
    <row r="25" spans="1:60" ht="13.5" customHeight="1" x14ac:dyDescent="0.15">
      <c r="A25" s="184" t="s">
        <v>34</v>
      </c>
      <c r="B25" s="184"/>
      <c r="C25" s="184"/>
      <c r="D25" s="173"/>
      <c r="E25" s="174"/>
      <c r="F25" s="10" t="s">
        <v>33</v>
      </c>
      <c r="G25" s="170"/>
      <c r="H25" s="171"/>
      <c r="I25" s="171"/>
      <c r="J25" s="11" t="s">
        <v>24</v>
      </c>
      <c r="K25" s="170"/>
      <c r="L25" s="171"/>
      <c r="M25" s="171"/>
      <c r="N25" s="82" t="s">
        <v>24</v>
      </c>
      <c r="O25" s="83" t="s">
        <v>64</v>
      </c>
      <c r="P25" s="170"/>
      <c r="Q25" s="171"/>
      <c r="R25" s="171"/>
      <c r="S25" s="11" t="s">
        <v>24</v>
      </c>
      <c r="T25" s="148"/>
      <c r="U25" s="148"/>
      <c r="V25" s="18"/>
      <c r="W25" s="12"/>
      <c r="X25" s="9"/>
      <c r="Y25" s="152">
        <f>世２!$F$29</f>
        <v>0</v>
      </c>
      <c r="Z25" s="153"/>
      <c r="AA25" s="153"/>
      <c r="AB25" s="11" t="s">
        <v>24</v>
      </c>
      <c r="AC25" s="152">
        <f t="shared" ref="AC25:AC30" si="1">IF(T25="○",ROUNDDOWN(Y25*0.3,0),Y25)</f>
        <v>0</v>
      </c>
      <c r="AD25" s="153"/>
      <c r="AE25" s="153"/>
      <c r="AF25" s="11" t="s">
        <v>24</v>
      </c>
      <c r="AG25" s="162">
        <f>世２!$F$59</f>
        <v>0</v>
      </c>
      <c r="AH25" s="163"/>
      <c r="AI25" s="163"/>
      <c r="AJ25" s="11" t="s">
        <v>24</v>
      </c>
      <c r="AK25" s="162">
        <f t="shared" ref="AK25:AK30" si="2">P25</f>
        <v>0</v>
      </c>
      <c r="AL25" s="163"/>
      <c r="AM25" s="163"/>
      <c r="AN25" s="11" t="s">
        <v>24</v>
      </c>
      <c r="AO25" s="162">
        <f t="shared" ref="AO25:AO30" si="3">MAX(AC25+AG25+AK25,0)</f>
        <v>0</v>
      </c>
      <c r="AP25" s="163"/>
      <c r="AQ25" s="163"/>
      <c r="AR25" s="11" t="s">
        <v>24</v>
      </c>
      <c r="AS25" s="162">
        <f t="shared" ref="AS25:AS30" si="4">MAX(AG25-IF(O25="以前",150000,0),0)</f>
        <v>0</v>
      </c>
      <c r="AT25" s="163"/>
      <c r="AU25" s="163"/>
      <c r="AV25" s="57" t="s">
        <v>24</v>
      </c>
      <c r="AW25" s="162">
        <f>IF(T25="○",ROUNDDOWN(世２!$H$29*0.3,0),世２!$H$29)</f>
        <v>0</v>
      </c>
      <c r="AX25" s="163"/>
      <c r="AY25" s="163"/>
      <c r="AZ25" s="11" t="s">
        <v>24</v>
      </c>
      <c r="BA25" s="162">
        <f t="shared" ref="BA25:BA30" si="5">MAX(AW25+AS25+AK25,0)</f>
        <v>0</v>
      </c>
      <c r="BB25" s="163"/>
      <c r="BC25" s="163"/>
      <c r="BD25" s="11" t="s">
        <v>24</v>
      </c>
      <c r="BE25" s="210">
        <f t="shared" si="0"/>
        <v>0</v>
      </c>
      <c r="BF25" s="210"/>
      <c r="BG25" s="210"/>
      <c r="BH25" s="210"/>
    </row>
    <row r="26" spans="1:60" ht="13.5" customHeight="1" x14ac:dyDescent="0.15">
      <c r="A26" s="184" t="s">
        <v>35</v>
      </c>
      <c r="B26" s="184"/>
      <c r="C26" s="184"/>
      <c r="D26" s="173"/>
      <c r="E26" s="174"/>
      <c r="F26" s="10" t="s">
        <v>33</v>
      </c>
      <c r="G26" s="170"/>
      <c r="H26" s="171"/>
      <c r="I26" s="171"/>
      <c r="J26" s="11" t="s">
        <v>24</v>
      </c>
      <c r="K26" s="170"/>
      <c r="L26" s="171"/>
      <c r="M26" s="171"/>
      <c r="N26" s="82" t="s">
        <v>24</v>
      </c>
      <c r="O26" s="83" t="s">
        <v>64</v>
      </c>
      <c r="P26" s="170"/>
      <c r="Q26" s="171"/>
      <c r="R26" s="171"/>
      <c r="S26" s="11" t="s">
        <v>24</v>
      </c>
      <c r="T26" s="148"/>
      <c r="U26" s="148"/>
      <c r="V26" s="18"/>
      <c r="W26" s="12"/>
      <c r="X26" s="9"/>
      <c r="Y26" s="152">
        <f>世３!$F$29</f>
        <v>0</v>
      </c>
      <c r="Z26" s="153"/>
      <c r="AA26" s="153"/>
      <c r="AB26" s="11" t="s">
        <v>24</v>
      </c>
      <c r="AC26" s="152">
        <f t="shared" si="1"/>
        <v>0</v>
      </c>
      <c r="AD26" s="153"/>
      <c r="AE26" s="153"/>
      <c r="AF26" s="11" t="s">
        <v>24</v>
      </c>
      <c r="AG26" s="162">
        <f>世３!$F$59</f>
        <v>0</v>
      </c>
      <c r="AH26" s="163"/>
      <c r="AI26" s="163"/>
      <c r="AJ26" s="11" t="s">
        <v>24</v>
      </c>
      <c r="AK26" s="162">
        <f t="shared" si="2"/>
        <v>0</v>
      </c>
      <c r="AL26" s="163"/>
      <c r="AM26" s="163"/>
      <c r="AN26" s="11" t="s">
        <v>24</v>
      </c>
      <c r="AO26" s="162">
        <f t="shared" si="3"/>
        <v>0</v>
      </c>
      <c r="AP26" s="163"/>
      <c r="AQ26" s="163"/>
      <c r="AR26" s="11" t="s">
        <v>24</v>
      </c>
      <c r="AS26" s="162">
        <f t="shared" si="4"/>
        <v>0</v>
      </c>
      <c r="AT26" s="163"/>
      <c r="AU26" s="163"/>
      <c r="AV26" s="57" t="s">
        <v>24</v>
      </c>
      <c r="AW26" s="162">
        <f>IF(T26="○",ROUNDDOWN(世３!$H$29*0.3,0),世３!$H$29)</f>
        <v>0</v>
      </c>
      <c r="AX26" s="163"/>
      <c r="AY26" s="163"/>
      <c r="AZ26" s="11" t="s">
        <v>24</v>
      </c>
      <c r="BA26" s="162">
        <f t="shared" si="5"/>
        <v>0</v>
      </c>
      <c r="BB26" s="163"/>
      <c r="BC26" s="163"/>
      <c r="BD26" s="11" t="s">
        <v>24</v>
      </c>
      <c r="BE26" s="210">
        <f t="shared" si="0"/>
        <v>0</v>
      </c>
      <c r="BF26" s="210"/>
      <c r="BG26" s="210"/>
      <c r="BH26" s="210"/>
    </row>
    <row r="27" spans="1:60" ht="13.5" customHeight="1" x14ac:dyDescent="0.15">
      <c r="A27" s="184" t="s">
        <v>36</v>
      </c>
      <c r="B27" s="184"/>
      <c r="C27" s="184"/>
      <c r="D27" s="173"/>
      <c r="E27" s="174"/>
      <c r="F27" s="10" t="s">
        <v>33</v>
      </c>
      <c r="G27" s="170"/>
      <c r="H27" s="171"/>
      <c r="I27" s="171"/>
      <c r="J27" s="11" t="s">
        <v>24</v>
      </c>
      <c r="K27" s="170"/>
      <c r="L27" s="171"/>
      <c r="M27" s="171"/>
      <c r="N27" s="82" t="s">
        <v>24</v>
      </c>
      <c r="O27" s="83" t="s">
        <v>64</v>
      </c>
      <c r="P27" s="170"/>
      <c r="Q27" s="171"/>
      <c r="R27" s="171"/>
      <c r="S27" s="11" t="s">
        <v>24</v>
      </c>
      <c r="T27" s="148"/>
      <c r="U27" s="148"/>
      <c r="V27" s="18"/>
      <c r="W27" s="12"/>
      <c r="X27" s="9"/>
      <c r="Y27" s="152">
        <f>世４!$F$29</f>
        <v>0</v>
      </c>
      <c r="Z27" s="153"/>
      <c r="AA27" s="153"/>
      <c r="AB27" s="11" t="s">
        <v>24</v>
      </c>
      <c r="AC27" s="152">
        <f t="shared" si="1"/>
        <v>0</v>
      </c>
      <c r="AD27" s="153"/>
      <c r="AE27" s="153"/>
      <c r="AF27" s="11" t="s">
        <v>24</v>
      </c>
      <c r="AG27" s="162">
        <f>世４!$F$59</f>
        <v>0</v>
      </c>
      <c r="AH27" s="163"/>
      <c r="AI27" s="163"/>
      <c r="AJ27" s="11" t="s">
        <v>24</v>
      </c>
      <c r="AK27" s="162">
        <f t="shared" si="2"/>
        <v>0</v>
      </c>
      <c r="AL27" s="163"/>
      <c r="AM27" s="163"/>
      <c r="AN27" s="11" t="s">
        <v>24</v>
      </c>
      <c r="AO27" s="162">
        <f t="shared" si="3"/>
        <v>0</v>
      </c>
      <c r="AP27" s="163"/>
      <c r="AQ27" s="163"/>
      <c r="AR27" s="11" t="s">
        <v>24</v>
      </c>
      <c r="AS27" s="162">
        <f t="shared" si="4"/>
        <v>0</v>
      </c>
      <c r="AT27" s="163"/>
      <c r="AU27" s="163"/>
      <c r="AV27" s="57" t="s">
        <v>24</v>
      </c>
      <c r="AW27" s="162">
        <f>IF(T27="○",ROUNDDOWN(世４!$H$29*0.3,0),世４!$H$29)</f>
        <v>0</v>
      </c>
      <c r="AX27" s="163"/>
      <c r="AY27" s="163"/>
      <c r="AZ27" s="11" t="s">
        <v>24</v>
      </c>
      <c r="BA27" s="162">
        <f t="shared" si="5"/>
        <v>0</v>
      </c>
      <c r="BB27" s="163"/>
      <c r="BC27" s="163"/>
      <c r="BD27" s="11" t="s">
        <v>24</v>
      </c>
      <c r="BE27" s="210">
        <f t="shared" si="0"/>
        <v>0</v>
      </c>
      <c r="BF27" s="210"/>
      <c r="BG27" s="210"/>
      <c r="BH27" s="210"/>
    </row>
    <row r="28" spans="1:60" ht="13.5" customHeight="1" x14ac:dyDescent="0.15">
      <c r="A28" s="184" t="s">
        <v>56</v>
      </c>
      <c r="B28" s="184"/>
      <c r="C28" s="184"/>
      <c r="D28" s="173"/>
      <c r="E28" s="174"/>
      <c r="F28" s="10" t="s">
        <v>33</v>
      </c>
      <c r="G28" s="170"/>
      <c r="H28" s="171"/>
      <c r="I28" s="171"/>
      <c r="J28" s="11" t="s">
        <v>24</v>
      </c>
      <c r="K28" s="170"/>
      <c r="L28" s="171"/>
      <c r="M28" s="171"/>
      <c r="N28" s="82" t="s">
        <v>24</v>
      </c>
      <c r="O28" s="83" t="s">
        <v>64</v>
      </c>
      <c r="P28" s="170"/>
      <c r="Q28" s="171"/>
      <c r="R28" s="171"/>
      <c r="S28" s="11" t="s">
        <v>24</v>
      </c>
      <c r="T28" s="148"/>
      <c r="U28" s="148"/>
      <c r="V28" s="18"/>
      <c r="W28" s="12"/>
      <c r="X28" s="9"/>
      <c r="Y28" s="152">
        <f>世５!$F$29</f>
        <v>0</v>
      </c>
      <c r="Z28" s="153"/>
      <c r="AA28" s="153"/>
      <c r="AB28" s="11" t="s">
        <v>24</v>
      </c>
      <c r="AC28" s="152">
        <f t="shared" si="1"/>
        <v>0</v>
      </c>
      <c r="AD28" s="153"/>
      <c r="AE28" s="153"/>
      <c r="AF28" s="11" t="s">
        <v>24</v>
      </c>
      <c r="AG28" s="162">
        <f>世５!$F$59</f>
        <v>0</v>
      </c>
      <c r="AH28" s="163"/>
      <c r="AI28" s="163"/>
      <c r="AJ28" s="11" t="s">
        <v>24</v>
      </c>
      <c r="AK28" s="162">
        <f t="shared" si="2"/>
        <v>0</v>
      </c>
      <c r="AL28" s="163"/>
      <c r="AM28" s="163"/>
      <c r="AN28" s="11" t="s">
        <v>24</v>
      </c>
      <c r="AO28" s="162">
        <f t="shared" si="3"/>
        <v>0</v>
      </c>
      <c r="AP28" s="163"/>
      <c r="AQ28" s="163"/>
      <c r="AR28" s="11" t="s">
        <v>24</v>
      </c>
      <c r="AS28" s="162">
        <f t="shared" si="4"/>
        <v>0</v>
      </c>
      <c r="AT28" s="163"/>
      <c r="AU28" s="163"/>
      <c r="AV28" s="57" t="s">
        <v>24</v>
      </c>
      <c r="AW28" s="162">
        <f>IF(T28="○",ROUNDDOWN(世５!$H$29*0.3,0),世５!$H$29)</f>
        <v>0</v>
      </c>
      <c r="AX28" s="163"/>
      <c r="AY28" s="163"/>
      <c r="AZ28" s="11" t="s">
        <v>24</v>
      </c>
      <c r="BA28" s="162">
        <f t="shared" si="5"/>
        <v>0</v>
      </c>
      <c r="BB28" s="163"/>
      <c r="BC28" s="163"/>
      <c r="BD28" s="11" t="s">
        <v>24</v>
      </c>
      <c r="BE28" s="210">
        <f t="shared" si="0"/>
        <v>0</v>
      </c>
      <c r="BF28" s="210"/>
      <c r="BG28" s="210"/>
      <c r="BH28" s="210"/>
    </row>
    <row r="29" spans="1:60" ht="13.5" customHeight="1" x14ac:dyDescent="0.15">
      <c r="A29" s="184" t="s">
        <v>57</v>
      </c>
      <c r="B29" s="184"/>
      <c r="C29" s="184"/>
      <c r="D29" s="173"/>
      <c r="E29" s="174"/>
      <c r="F29" s="10" t="s">
        <v>33</v>
      </c>
      <c r="G29" s="170"/>
      <c r="H29" s="171"/>
      <c r="I29" s="171"/>
      <c r="J29" s="11" t="s">
        <v>24</v>
      </c>
      <c r="K29" s="170"/>
      <c r="L29" s="171"/>
      <c r="M29" s="171"/>
      <c r="N29" s="82" t="s">
        <v>24</v>
      </c>
      <c r="O29" s="83" t="s">
        <v>64</v>
      </c>
      <c r="P29" s="170"/>
      <c r="Q29" s="171"/>
      <c r="R29" s="171"/>
      <c r="S29" s="11" t="s">
        <v>24</v>
      </c>
      <c r="T29" s="148"/>
      <c r="U29" s="148"/>
      <c r="V29" s="18"/>
      <c r="W29" s="12"/>
      <c r="X29" s="9"/>
      <c r="Y29" s="152">
        <f>世６!$F$29</f>
        <v>0</v>
      </c>
      <c r="Z29" s="153"/>
      <c r="AA29" s="153"/>
      <c r="AB29" s="11" t="s">
        <v>24</v>
      </c>
      <c r="AC29" s="152">
        <f t="shared" si="1"/>
        <v>0</v>
      </c>
      <c r="AD29" s="153"/>
      <c r="AE29" s="153"/>
      <c r="AF29" s="11" t="s">
        <v>24</v>
      </c>
      <c r="AG29" s="162">
        <f>世６!$F$59</f>
        <v>0</v>
      </c>
      <c r="AH29" s="163"/>
      <c r="AI29" s="163"/>
      <c r="AJ29" s="11" t="s">
        <v>24</v>
      </c>
      <c r="AK29" s="162">
        <f t="shared" si="2"/>
        <v>0</v>
      </c>
      <c r="AL29" s="163"/>
      <c r="AM29" s="163"/>
      <c r="AN29" s="11" t="s">
        <v>24</v>
      </c>
      <c r="AO29" s="162">
        <f t="shared" si="3"/>
        <v>0</v>
      </c>
      <c r="AP29" s="163"/>
      <c r="AQ29" s="163"/>
      <c r="AR29" s="11" t="s">
        <v>24</v>
      </c>
      <c r="AS29" s="162">
        <f t="shared" si="4"/>
        <v>0</v>
      </c>
      <c r="AT29" s="163"/>
      <c r="AU29" s="163"/>
      <c r="AV29" s="57" t="s">
        <v>24</v>
      </c>
      <c r="AW29" s="162">
        <f>IF(T29="○",ROUNDDOWN(世６!$H$29*0.3,0),世６!$H$29)</f>
        <v>0</v>
      </c>
      <c r="AX29" s="163"/>
      <c r="AY29" s="163"/>
      <c r="AZ29" s="11" t="s">
        <v>24</v>
      </c>
      <c r="BA29" s="162">
        <f t="shared" si="5"/>
        <v>0</v>
      </c>
      <c r="BB29" s="163"/>
      <c r="BC29" s="163"/>
      <c r="BD29" s="11" t="s">
        <v>24</v>
      </c>
      <c r="BE29" s="210">
        <f t="shared" si="0"/>
        <v>0</v>
      </c>
      <c r="BF29" s="210"/>
      <c r="BG29" s="210"/>
      <c r="BH29" s="210"/>
    </row>
    <row r="30" spans="1:60" ht="13.5" customHeight="1" x14ac:dyDescent="0.15">
      <c r="A30" s="184" t="s">
        <v>58</v>
      </c>
      <c r="B30" s="184"/>
      <c r="C30" s="184"/>
      <c r="D30" s="173"/>
      <c r="E30" s="174"/>
      <c r="F30" s="10" t="s">
        <v>33</v>
      </c>
      <c r="G30" s="170"/>
      <c r="H30" s="171"/>
      <c r="I30" s="171"/>
      <c r="J30" s="11" t="s">
        <v>24</v>
      </c>
      <c r="K30" s="170"/>
      <c r="L30" s="171"/>
      <c r="M30" s="171"/>
      <c r="N30" s="82" t="s">
        <v>24</v>
      </c>
      <c r="O30" s="83" t="s">
        <v>64</v>
      </c>
      <c r="P30" s="170"/>
      <c r="Q30" s="171"/>
      <c r="R30" s="171"/>
      <c r="S30" s="11" t="s">
        <v>24</v>
      </c>
      <c r="T30" s="148"/>
      <c r="U30" s="148"/>
      <c r="V30" s="18"/>
      <c r="W30" s="12"/>
      <c r="X30" s="9"/>
      <c r="Y30" s="152">
        <f>世７!$F$29</f>
        <v>0</v>
      </c>
      <c r="Z30" s="153"/>
      <c r="AA30" s="153"/>
      <c r="AB30" s="11" t="s">
        <v>24</v>
      </c>
      <c r="AC30" s="152">
        <f t="shared" si="1"/>
        <v>0</v>
      </c>
      <c r="AD30" s="153"/>
      <c r="AE30" s="153"/>
      <c r="AF30" s="11" t="s">
        <v>24</v>
      </c>
      <c r="AG30" s="162">
        <f>世７!$F$59</f>
        <v>0</v>
      </c>
      <c r="AH30" s="163"/>
      <c r="AI30" s="163"/>
      <c r="AJ30" s="11" t="s">
        <v>24</v>
      </c>
      <c r="AK30" s="162">
        <f t="shared" si="2"/>
        <v>0</v>
      </c>
      <c r="AL30" s="163"/>
      <c r="AM30" s="163"/>
      <c r="AN30" s="11" t="s">
        <v>24</v>
      </c>
      <c r="AO30" s="162">
        <f t="shared" si="3"/>
        <v>0</v>
      </c>
      <c r="AP30" s="163"/>
      <c r="AQ30" s="163"/>
      <c r="AR30" s="11" t="s">
        <v>24</v>
      </c>
      <c r="AS30" s="162">
        <f t="shared" si="4"/>
        <v>0</v>
      </c>
      <c r="AT30" s="163"/>
      <c r="AU30" s="163"/>
      <c r="AV30" s="57" t="s">
        <v>24</v>
      </c>
      <c r="AW30" s="162">
        <f>IF(T30="○",ROUNDDOWN(世７!$H$29*0.3,0),世７!$H$29)</f>
        <v>0</v>
      </c>
      <c r="AX30" s="163"/>
      <c r="AY30" s="163"/>
      <c r="AZ30" s="11" t="s">
        <v>24</v>
      </c>
      <c r="BA30" s="162">
        <f t="shared" si="5"/>
        <v>0</v>
      </c>
      <c r="BB30" s="163"/>
      <c r="BC30" s="163"/>
      <c r="BD30" s="11" t="s">
        <v>24</v>
      </c>
      <c r="BE30" s="210">
        <f t="shared" si="0"/>
        <v>0</v>
      </c>
      <c r="BF30" s="210"/>
      <c r="BG30" s="210"/>
      <c r="BH30" s="210"/>
    </row>
    <row r="31" spans="1:60" ht="13.5" customHeight="1" x14ac:dyDescent="0.15">
      <c r="A31" s="9"/>
      <c r="B31" s="9"/>
      <c r="C31" s="9"/>
      <c r="D31" s="137" t="str">
        <f>IF(COUNTIF(D24:E30,"&gt;=75")&gt;0,"後期高齢者医療制度へ移った方を入力していませんか？","")</f>
        <v/>
      </c>
      <c r="E31" s="13"/>
      <c r="F31" s="12"/>
      <c r="G31" s="14"/>
      <c r="H31" s="14"/>
      <c r="I31" s="14"/>
      <c r="J31" s="12"/>
      <c r="K31" s="14"/>
      <c r="L31" s="14"/>
      <c r="M31" s="14"/>
      <c r="N31" s="12"/>
      <c r="O31" s="137" t="str">
        <f>IF(OR(AND(D24&lt;&gt;"",K24&lt;&gt;"",D24&lt;65,O24="以前"),AND(D25&lt;&gt;"",K25&lt;&gt;"",D25&lt;65,O25="以前"),AND(D26&lt;&gt;"",K26&lt;&gt;"",D26&lt;65,O26="以前"),AND(D27&lt;&gt;"",K27&lt;&gt;"",D27&lt;65,O27="以前"),AND(D28&lt;&gt;"",K28&lt;&gt;"",D28&lt;65,O28="以前"),AND(D29&lt;&gt;"",K29&lt;&gt;"",D29&lt;65,O29="以前"),AND(D30&lt;&gt;"",K30&lt;&gt;"",D30&lt;65,O30="以前"),AND(D24&lt;&gt;"",K24&lt;&gt;"",D24&gt;66,O24="以降"),AND(D25&lt;&gt;"",K25&lt;&gt;"",D25&gt;66,O25="以降"),AND(D26&lt;&gt;"",K26&lt;&gt;"",D26&gt;66,O26="以降"),AND(D27&lt;&gt;"",K27&lt;&gt;"",D27&gt;66,O27="以降"),AND(D28&lt;&gt;"",K28&lt;&gt;"",D28&gt;66,O28="以降"),AND(D29&lt;&gt;"",K29&lt;&gt;"",D29&gt;66,O29="以降"),AND(D30&lt;&gt;"",K30&lt;&gt;"",D30&gt;66,O30="以降")),"年金受給者の年齢を確認してください","")</f>
        <v/>
      </c>
      <c r="P31" s="14"/>
      <c r="Q31" s="14"/>
      <c r="R31" s="14"/>
      <c r="S31" s="12"/>
      <c r="T31" s="14"/>
      <c r="U31" s="14"/>
      <c r="V31" s="14"/>
      <c r="W31" s="9"/>
      <c r="X31" s="9"/>
      <c r="Y31" s="60"/>
      <c r="Z31" s="61"/>
      <c r="AA31" s="61"/>
      <c r="AB31" s="62"/>
      <c r="AC31" s="60"/>
      <c r="AD31" s="61"/>
      <c r="AE31" s="61"/>
      <c r="AF31" s="62"/>
      <c r="AG31" s="14"/>
      <c r="AH31" s="14"/>
      <c r="AI31" s="14"/>
      <c r="AJ31" s="12"/>
      <c r="AK31" s="77"/>
      <c r="AL31" s="78"/>
      <c r="AM31" s="78"/>
      <c r="AN31" s="62"/>
      <c r="AO31" s="14"/>
      <c r="AP31" s="14"/>
      <c r="AQ31" s="14"/>
      <c r="AR31" s="12"/>
      <c r="AS31" s="77"/>
      <c r="AT31" s="78"/>
      <c r="AU31" s="78"/>
      <c r="AV31" s="80"/>
      <c r="AW31" s="140"/>
      <c r="AX31" s="80"/>
      <c r="AY31" s="80"/>
      <c r="AZ31" s="62"/>
      <c r="BA31" s="77"/>
      <c r="BB31" s="78"/>
      <c r="BC31" s="78"/>
      <c r="BD31" s="81"/>
      <c r="BE31" s="71"/>
      <c r="BF31" s="72"/>
      <c r="BG31" s="72"/>
      <c r="BH31" s="73"/>
    </row>
    <row r="32" spans="1:60" s="16" customFormat="1" ht="13.5" hidden="1" customHeight="1" x14ac:dyDescent="0.15">
      <c r="A32" s="12"/>
      <c r="B32" s="12"/>
      <c r="C32" s="12"/>
      <c r="D32" s="13"/>
      <c r="E32" s="13"/>
      <c r="F32" s="12"/>
      <c r="G32" s="14"/>
      <c r="H32" s="14"/>
      <c r="I32" s="14"/>
      <c r="J32" s="12"/>
      <c r="K32" s="14"/>
      <c r="L32" s="14"/>
      <c r="M32" s="14"/>
      <c r="N32" s="12"/>
      <c r="O32" s="12"/>
      <c r="P32" s="14"/>
      <c r="Q32" s="14"/>
      <c r="R32" s="14"/>
      <c r="S32" s="12"/>
      <c r="T32" s="14"/>
      <c r="U32" s="14"/>
      <c r="V32" s="14"/>
      <c r="W32" s="12"/>
      <c r="X32" s="12"/>
      <c r="Y32" s="63"/>
      <c r="Z32" s="15"/>
      <c r="AA32" s="15"/>
      <c r="AB32" s="64"/>
      <c r="AC32" s="63"/>
      <c r="AD32" s="15"/>
      <c r="AE32" s="15"/>
      <c r="AF32" s="64"/>
      <c r="AG32" s="14"/>
      <c r="AH32" s="14"/>
      <c r="AI32" s="14"/>
      <c r="AJ32" s="12"/>
      <c r="AK32" s="79"/>
      <c r="AL32" s="14"/>
      <c r="AM32" s="14"/>
      <c r="AN32" s="64"/>
      <c r="AO32" s="14"/>
      <c r="AP32" s="14"/>
      <c r="AQ32" s="14"/>
      <c r="AR32" s="12"/>
      <c r="AS32" s="79"/>
      <c r="AT32" s="14"/>
      <c r="AU32" s="14"/>
      <c r="AV32" s="12"/>
      <c r="AW32" s="141"/>
      <c r="AX32" s="12"/>
      <c r="AY32" s="12"/>
      <c r="AZ32" s="64"/>
      <c r="BA32" s="79"/>
      <c r="BB32" s="14"/>
      <c r="BC32" s="14"/>
      <c r="BD32" s="64"/>
      <c r="BE32" s="105"/>
      <c r="BF32" s="88"/>
      <c r="BG32" s="88"/>
      <c r="BH32" s="106"/>
    </row>
    <row r="33" spans="1:60" s="16" customFormat="1" ht="13.5" customHeight="1" x14ac:dyDescent="0.15">
      <c r="A33" s="17" t="s">
        <v>89</v>
      </c>
      <c r="B33" s="12"/>
      <c r="C33" s="12"/>
      <c r="D33" s="13"/>
      <c r="E33" s="13"/>
      <c r="F33" s="12"/>
      <c r="G33" s="14"/>
      <c r="H33" s="14"/>
      <c r="I33" s="14"/>
      <c r="J33" s="12"/>
      <c r="K33" s="14"/>
      <c r="L33" s="14"/>
      <c r="M33" s="14"/>
      <c r="N33" s="12"/>
      <c r="O33" s="12"/>
      <c r="P33" s="14"/>
      <c r="Q33" s="14"/>
      <c r="R33" s="14"/>
      <c r="S33" s="12"/>
      <c r="T33" s="14"/>
      <c r="U33" s="14"/>
      <c r="V33" s="14"/>
      <c r="W33" s="12"/>
      <c r="X33" s="12"/>
      <c r="Y33" s="63"/>
      <c r="Z33" s="15"/>
      <c r="AA33" s="15"/>
      <c r="AB33" s="64"/>
      <c r="AC33" s="63"/>
      <c r="AD33" s="15"/>
      <c r="AE33" s="15"/>
      <c r="AF33" s="64"/>
      <c r="AG33" s="14"/>
      <c r="AH33" s="14"/>
      <c r="AI33" s="14"/>
      <c r="AJ33" s="12"/>
      <c r="AK33" s="79"/>
      <c r="AL33" s="14"/>
      <c r="AM33" s="14"/>
      <c r="AN33" s="64"/>
      <c r="AO33" s="14"/>
      <c r="AP33" s="14"/>
      <c r="AQ33" s="14"/>
      <c r="AR33" s="12"/>
      <c r="AS33" s="79"/>
      <c r="AT33" s="14"/>
      <c r="AU33" s="14"/>
      <c r="AV33" s="12"/>
      <c r="AW33" s="141"/>
      <c r="AX33" s="12"/>
      <c r="AY33" s="12"/>
      <c r="AZ33" s="64"/>
      <c r="BA33" s="79"/>
      <c r="BB33" s="14"/>
      <c r="BC33" s="14"/>
      <c r="BD33" s="64"/>
      <c r="BE33" s="105"/>
      <c r="BF33" s="88"/>
      <c r="BG33" s="88"/>
      <c r="BH33" s="106"/>
    </row>
    <row r="34" spans="1:60" s="16" customFormat="1" ht="13.5" customHeight="1" x14ac:dyDescent="0.15">
      <c r="A34" s="185"/>
      <c r="B34" s="185"/>
      <c r="C34" s="185"/>
      <c r="D34" s="183" t="s">
        <v>47</v>
      </c>
      <c r="E34" s="183"/>
      <c r="F34" s="183"/>
      <c r="G34" s="182" t="s">
        <v>30</v>
      </c>
      <c r="H34" s="182"/>
      <c r="I34" s="182"/>
      <c r="J34" s="182"/>
      <c r="K34" s="205" t="s">
        <v>172</v>
      </c>
      <c r="L34" s="206"/>
      <c r="M34" s="206"/>
      <c r="N34" s="206"/>
      <c r="O34" s="207"/>
      <c r="P34" s="175" t="s">
        <v>173</v>
      </c>
      <c r="Q34" s="175"/>
      <c r="R34" s="175"/>
      <c r="S34" s="175"/>
      <c r="T34" s="176" t="s">
        <v>86</v>
      </c>
      <c r="U34" s="212"/>
      <c r="V34" s="213" t="s">
        <v>87</v>
      </c>
      <c r="W34" s="213"/>
      <c r="X34" s="12"/>
      <c r="Y34" s="65"/>
      <c r="Z34" s="66"/>
      <c r="AA34" s="66"/>
      <c r="AB34" s="67"/>
      <c r="AC34" s="65"/>
      <c r="AD34" s="66"/>
      <c r="AE34" s="66"/>
      <c r="AF34" s="67"/>
      <c r="AG34" s="14"/>
      <c r="AH34" s="14"/>
      <c r="AI34" s="14"/>
      <c r="AJ34" s="12"/>
      <c r="AK34" s="79"/>
      <c r="AL34" s="14"/>
      <c r="AM34" s="14"/>
      <c r="AN34" s="64"/>
      <c r="AO34" s="14"/>
      <c r="AP34" s="14"/>
      <c r="AQ34" s="14"/>
      <c r="AR34" s="12"/>
      <c r="AS34" s="79"/>
      <c r="AT34" s="14"/>
      <c r="AU34" s="14"/>
      <c r="AV34" s="12"/>
      <c r="AW34" s="141"/>
      <c r="AX34" s="12"/>
      <c r="AY34" s="12"/>
      <c r="AZ34" s="64"/>
      <c r="BA34" s="79"/>
      <c r="BB34" s="14"/>
      <c r="BC34" s="14"/>
      <c r="BD34" s="64"/>
      <c r="BE34" s="105"/>
      <c r="BF34" s="88"/>
      <c r="BG34" s="88"/>
      <c r="BH34" s="106"/>
    </row>
    <row r="35" spans="1:60" ht="13.5" customHeight="1" x14ac:dyDescent="0.15">
      <c r="A35" s="184" t="s">
        <v>40</v>
      </c>
      <c r="B35" s="184"/>
      <c r="C35" s="184"/>
      <c r="D35" s="173"/>
      <c r="E35" s="174"/>
      <c r="F35" s="10" t="s">
        <v>33</v>
      </c>
      <c r="G35" s="170"/>
      <c r="H35" s="171"/>
      <c r="I35" s="171"/>
      <c r="J35" s="11" t="s">
        <v>24</v>
      </c>
      <c r="K35" s="170"/>
      <c r="L35" s="171"/>
      <c r="M35" s="171"/>
      <c r="N35" s="82" t="s">
        <v>24</v>
      </c>
      <c r="O35" s="83" t="s">
        <v>63</v>
      </c>
      <c r="P35" s="170"/>
      <c r="Q35" s="171"/>
      <c r="R35" s="171"/>
      <c r="S35" s="11" t="s">
        <v>24</v>
      </c>
      <c r="T35" s="178" t="s">
        <v>144</v>
      </c>
      <c r="U35" s="214"/>
      <c r="V35" s="215"/>
      <c r="W35" s="215"/>
      <c r="X35" s="12"/>
      <c r="Y35" s="152">
        <f>世主!$F$29</f>
        <v>0</v>
      </c>
      <c r="Z35" s="153"/>
      <c r="AA35" s="153"/>
      <c r="AB35" s="11" t="s">
        <v>24</v>
      </c>
      <c r="AC35" s="152">
        <f>IF(V35="○",ROUNDDOWN(Y35*0.3,0),Y35)</f>
        <v>0</v>
      </c>
      <c r="AD35" s="153"/>
      <c r="AE35" s="153"/>
      <c r="AF35" s="11" t="s">
        <v>24</v>
      </c>
      <c r="AG35" s="162">
        <f>世主!$F$59</f>
        <v>0</v>
      </c>
      <c r="AH35" s="163"/>
      <c r="AI35" s="163"/>
      <c r="AJ35" s="11" t="s">
        <v>24</v>
      </c>
      <c r="AK35" s="162">
        <f>P35</f>
        <v>0</v>
      </c>
      <c r="AL35" s="163"/>
      <c r="AM35" s="163"/>
      <c r="AN35" s="11" t="s">
        <v>24</v>
      </c>
      <c r="AO35" s="18"/>
      <c r="AP35" s="18"/>
      <c r="AQ35" s="18"/>
      <c r="AR35" s="12"/>
      <c r="AS35" s="162">
        <f>MAX(AG35-IF(O35="以前",150000,0),0)</f>
        <v>0</v>
      </c>
      <c r="AT35" s="163"/>
      <c r="AU35" s="163"/>
      <c r="AV35" s="57" t="s">
        <v>24</v>
      </c>
      <c r="AW35" s="162">
        <f>IF(V35="○",ROUNDDOWN(世主!$H$29*0.3,0),世主!$H$29)</f>
        <v>0</v>
      </c>
      <c r="AX35" s="163"/>
      <c r="AY35" s="163"/>
      <c r="AZ35" s="11" t="s">
        <v>24</v>
      </c>
      <c r="BA35" s="162">
        <f t="shared" ref="BA35" si="6">MAX(AW35+AS35+AK35,0)</f>
        <v>0</v>
      </c>
      <c r="BB35" s="163"/>
      <c r="BC35" s="163"/>
      <c r="BD35" s="11" t="s">
        <v>24</v>
      </c>
      <c r="BE35" s="210">
        <f>IF(AND(D35&lt;&gt;"",OR(G35&gt;550000,AND(O35="以降",K35&gt;600000),AND(O35="以前",K35&gt;1250000))),1,0)</f>
        <v>0</v>
      </c>
      <c r="BF35" s="210"/>
      <c r="BG35" s="210"/>
      <c r="BH35" s="210"/>
    </row>
    <row r="36" spans="1:60" ht="13.5" customHeight="1" x14ac:dyDescent="0.15">
      <c r="O36" s="58" t="str">
        <f>IF(OR(AND(D35&lt;&gt;"",K35&lt;&gt;"",D35&lt;65,O35="以前"),AND(D35&lt;&gt;"",K35&lt;&gt;"",D35&gt;66,O35="以降")),"年金受給者の年齢を確認してください","")</f>
        <v/>
      </c>
      <c r="Y36" s="68"/>
      <c r="Z36" s="69"/>
      <c r="AA36" s="69"/>
      <c r="AB36" s="70"/>
      <c r="AC36" s="68"/>
      <c r="AD36" s="69"/>
      <c r="AE36" s="69"/>
      <c r="AF36" s="70"/>
      <c r="AG36" s="16"/>
      <c r="AH36" s="16"/>
      <c r="AI36" s="16"/>
      <c r="AJ36" s="16"/>
      <c r="AK36" s="71"/>
      <c r="AL36" s="72"/>
      <c r="AM36" s="72"/>
      <c r="AN36" s="73"/>
      <c r="AO36" s="16"/>
      <c r="AP36" s="16"/>
      <c r="AQ36" s="16"/>
      <c r="AR36" s="16"/>
      <c r="AS36" s="71"/>
      <c r="AT36" s="72"/>
      <c r="AU36" s="72"/>
      <c r="AV36" s="72"/>
      <c r="AW36" s="71"/>
      <c r="AX36" s="72"/>
      <c r="AY36" s="72"/>
      <c r="AZ36" s="73"/>
      <c r="BA36" s="71"/>
      <c r="BB36" s="72"/>
      <c r="BC36" s="72"/>
      <c r="BD36" s="73"/>
      <c r="BE36" s="71"/>
      <c r="BF36" s="72"/>
      <c r="BG36" s="72"/>
      <c r="BH36" s="73"/>
    </row>
    <row r="37" spans="1:60" ht="13.5" customHeight="1" x14ac:dyDescent="0.15">
      <c r="A37" s="1" t="s">
        <v>91</v>
      </c>
      <c r="Y37" s="71"/>
      <c r="Z37" s="72"/>
      <c r="AA37" s="72"/>
      <c r="AB37" s="73"/>
      <c r="AC37" s="71"/>
      <c r="AD37" s="72"/>
      <c r="AE37" s="72"/>
      <c r="AF37" s="73"/>
      <c r="AG37" s="16"/>
      <c r="AH37" s="16"/>
      <c r="AI37" s="16"/>
      <c r="AJ37" s="16"/>
      <c r="AK37" s="71"/>
      <c r="AL37" s="72"/>
      <c r="AM37" s="72"/>
      <c r="AN37" s="73"/>
      <c r="AO37" s="16"/>
      <c r="AP37" s="16"/>
      <c r="AQ37" s="16"/>
      <c r="AR37" s="16"/>
      <c r="AS37" s="71"/>
      <c r="AT37" s="72"/>
      <c r="AU37" s="72"/>
      <c r="AV37" s="72"/>
      <c r="AW37" s="71"/>
      <c r="AX37" s="72"/>
      <c r="AY37" s="72"/>
      <c r="AZ37" s="73"/>
      <c r="BA37" s="71"/>
      <c r="BB37" s="72"/>
      <c r="BC37" s="72"/>
      <c r="BD37" s="73"/>
      <c r="BE37" s="71"/>
      <c r="BF37" s="72"/>
      <c r="BG37" s="72"/>
      <c r="BH37" s="73"/>
    </row>
    <row r="38" spans="1:60" ht="13.5" customHeight="1" x14ac:dyDescent="0.15">
      <c r="A38" s="19" t="s">
        <v>70</v>
      </c>
      <c r="Y38" s="71"/>
      <c r="Z38" s="72"/>
      <c r="AA38" s="72"/>
      <c r="AB38" s="73"/>
      <c r="AC38" s="71"/>
      <c r="AD38" s="72"/>
      <c r="AE38" s="72"/>
      <c r="AF38" s="73"/>
      <c r="AG38" s="16"/>
      <c r="AH38" s="16"/>
      <c r="AI38" s="16"/>
      <c r="AJ38" s="16"/>
      <c r="AK38" s="71"/>
      <c r="AL38" s="72"/>
      <c r="AM38" s="72"/>
      <c r="AN38" s="73"/>
      <c r="AO38" s="16"/>
      <c r="AP38" s="16"/>
      <c r="AQ38" s="16"/>
      <c r="AR38" s="16"/>
      <c r="AS38" s="71"/>
      <c r="AT38" s="72"/>
      <c r="AU38" s="72"/>
      <c r="AV38" s="72"/>
      <c r="AW38" s="71"/>
      <c r="AX38" s="72"/>
      <c r="AY38" s="72"/>
      <c r="AZ38" s="73"/>
      <c r="BA38" s="71"/>
      <c r="BB38" s="72"/>
      <c r="BC38" s="72"/>
      <c r="BD38" s="73"/>
      <c r="BE38" s="71"/>
      <c r="BF38" s="72"/>
      <c r="BG38" s="72"/>
      <c r="BH38" s="73"/>
    </row>
    <row r="39" spans="1:60" ht="13.5" customHeight="1" x14ac:dyDescent="0.15">
      <c r="A39" s="1" t="s">
        <v>73</v>
      </c>
      <c r="Y39" s="71"/>
      <c r="Z39" s="72"/>
      <c r="AA39" s="72"/>
      <c r="AB39" s="73"/>
      <c r="AC39" s="71"/>
      <c r="AD39" s="72"/>
      <c r="AE39" s="72"/>
      <c r="AF39" s="73"/>
      <c r="AG39" s="16"/>
      <c r="AH39" s="16"/>
      <c r="AI39" s="16"/>
      <c r="AJ39" s="16"/>
      <c r="AK39" s="71"/>
      <c r="AL39" s="72"/>
      <c r="AM39" s="72"/>
      <c r="AN39" s="73"/>
      <c r="AO39" s="16"/>
      <c r="AP39" s="16"/>
      <c r="AQ39" s="16"/>
      <c r="AR39" s="16"/>
      <c r="AS39" s="71"/>
      <c r="AT39" s="72"/>
      <c r="AU39" s="72"/>
      <c r="AV39" s="72"/>
      <c r="AW39" s="71"/>
      <c r="AX39" s="72"/>
      <c r="AY39" s="72"/>
      <c r="AZ39" s="73"/>
      <c r="BA39" s="71"/>
      <c r="BB39" s="72"/>
      <c r="BC39" s="72"/>
      <c r="BD39" s="73"/>
      <c r="BE39" s="71"/>
      <c r="BF39" s="72"/>
      <c r="BG39" s="72"/>
      <c r="BH39" s="73"/>
    </row>
    <row r="40" spans="1:60" ht="13.5" customHeight="1" x14ac:dyDescent="0.15">
      <c r="A40" s="217"/>
      <c r="B40" s="217"/>
      <c r="C40" s="217"/>
      <c r="D40" s="183" t="s">
        <v>47</v>
      </c>
      <c r="E40" s="183"/>
      <c r="F40" s="183"/>
      <c r="G40" s="182" t="s">
        <v>30</v>
      </c>
      <c r="H40" s="182"/>
      <c r="I40" s="182"/>
      <c r="J40" s="182"/>
      <c r="K40" s="205" t="s">
        <v>172</v>
      </c>
      <c r="L40" s="206"/>
      <c r="M40" s="206"/>
      <c r="N40" s="206"/>
      <c r="O40" s="207"/>
      <c r="P40" s="175" t="s">
        <v>173</v>
      </c>
      <c r="Q40" s="175"/>
      <c r="R40" s="175"/>
      <c r="S40" s="175"/>
      <c r="T40" s="216" t="s">
        <v>84</v>
      </c>
      <c r="U40" s="216"/>
      <c r="Y40" s="74"/>
      <c r="Z40" s="75"/>
      <c r="AA40" s="75"/>
      <c r="AB40" s="76"/>
      <c r="AC40" s="74"/>
      <c r="AD40" s="75"/>
      <c r="AE40" s="75"/>
      <c r="AF40" s="76"/>
      <c r="AG40" s="16"/>
      <c r="AH40" s="16"/>
      <c r="AI40" s="16"/>
      <c r="AJ40" s="16"/>
      <c r="AK40" s="74"/>
      <c r="AL40" s="75"/>
      <c r="AM40" s="75"/>
      <c r="AN40" s="76"/>
      <c r="AO40" s="16"/>
      <c r="AP40" s="16"/>
      <c r="AQ40" s="16"/>
      <c r="AR40" s="16"/>
      <c r="AS40" s="74"/>
      <c r="AT40" s="75"/>
      <c r="AU40" s="75"/>
      <c r="AV40" s="75"/>
      <c r="AW40" s="71"/>
      <c r="AX40" s="72"/>
      <c r="AY40" s="72"/>
      <c r="AZ40" s="73"/>
      <c r="BA40" s="71"/>
      <c r="BB40" s="72"/>
      <c r="BC40" s="72"/>
      <c r="BD40" s="73"/>
      <c r="BE40" s="71"/>
      <c r="BF40" s="72"/>
      <c r="BG40" s="72"/>
      <c r="BH40" s="73"/>
    </row>
    <row r="41" spans="1:60" ht="13.5" customHeight="1" x14ac:dyDescent="0.15">
      <c r="A41" s="172" t="s">
        <v>41</v>
      </c>
      <c r="B41" s="172"/>
      <c r="C41" s="172"/>
      <c r="D41" s="173"/>
      <c r="E41" s="174"/>
      <c r="F41" s="10" t="s">
        <v>33</v>
      </c>
      <c r="G41" s="170"/>
      <c r="H41" s="171"/>
      <c r="I41" s="171"/>
      <c r="J41" s="11" t="s">
        <v>24</v>
      </c>
      <c r="K41" s="170"/>
      <c r="L41" s="171"/>
      <c r="M41" s="171"/>
      <c r="N41" s="82" t="s">
        <v>24</v>
      </c>
      <c r="O41" s="83" t="s">
        <v>63</v>
      </c>
      <c r="P41" s="170"/>
      <c r="Q41" s="171"/>
      <c r="R41" s="171"/>
      <c r="S41" s="11" t="s">
        <v>24</v>
      </c>
      <c r="T41" s="149" t="s">
        <v>88</v>
      </c>
      <c r="U41" s="149"/>
      <c r="V41" s="18"/>
      <c r="W41" s="12"/>
      <c r="X41" s="12"/>
      <c r="Y41" s="152">
        <f>旧１!$F$29</f>
        <v>0</v>
      </c>
      <c r="Z41" s="153"/>
      <c r="AA41" s="153"/>
      <c r="AB41" s="11" t="s">
        <v>24</v>
      </c>
      <c r="AC41" s="152">
        <f>IF(T41="○",ROUNDDOWN(Y41*0.3,0),Y41)</f>
        <v>0</v>
      </c>
      <c r="AD41" s="153"/>
      <c r="AE41" s="153"/>
      <c r="AF41" s="11" t="s">
        <v>24</v>
      </c>
      <c r="AG41" s="162">
        <f>旧１!$F$59</f>
        <v>0</v>
      </c>
      <c r="AH41" s="163"/>
      <c r="AI41" s="163"/>
      <c r="AJ41" s="11" t="s">
        <v>24</v>
      </c>
      <c r="AK41" s="162">
        <f>P41</f>
        <v>0</v>
      </c>
      <c r="AL41" s="163"/>
      <c r="AM41" s="163"/>
      <c r="AN41" s="11" t="s">
        <v>24</v>
      </c>
      <c r="AO41" s="18"/>
      <c r="AP41" s="18"/>
      <c r="AQ41" s="18"/>
      <c r="AR41" s="12"/>
      <c r="AS41" s="162">
        <f t="shared" ref="AS41:AS43" si="7">MAX(AG41-IF(O41="以前",150000,0),0)</f>
        <v>0</v>
      </c>
      <c r="AT41" s="163"/>
      <c r="AU41" s="163"/>
      <c r="AV41" s="57" t="s">
        <v>24</v>
      </c>
      <c r="AW41" s="162">
        <f>IF(T41="○",ROUNDDOWN(旧１!$H$29*0.3,0),旧１!$H$29)</f>
        <v>0</v>
      </c>
      <c r="AX41" s="163"/>
      <c r="AY41" s="163"/>
      <c r="AZ41" s="11" t="s">
        <v>24</v>
      </c>
      <c r="BA41" s="162">
        <f t="shared" ref="BA41:BA43" si="8">MAX(AW41+AS41+AK41,0)</f>
        <v>0</v>
      </c>
      <c r="BB41" s="163"/>
      <c r="BC41" s="163"/>
      <c r="BD41" s="11" t="s">
        <v>24</v>
      </c>
      <c r="BE41" s="210">
        <f>IF(AND(D41&lt;&gt;"",OR(G41&gt;550000,AND(O41="以降",K41&gt;600000),AND(O41="以前",K41&gt;1250000))),1,0)</f>
        <v>0</v>
      </c>
      <c r="BF41" s="210"/>
      <c r="BG41" s="210"/>
      <c r="BH41" s="210"/>
    </row>
    <row r="42" spans="1:60" ht="13.5" customHeight="1" x14ac:dyDescent="0.15">
      <c r="A42" s="172" t="s">
        <v>42</v>
      </c>
      <c r="B42" s="172"/>
      <c r="C42" s="172"/>
      <c r="D42" s="173"/>
      <c r="E42" s="174"/>
      <c r="F42" s="10" t="s">
        <v>33</v>
      </c>
      <c r="G42" s="170"/>
      <c r="H42" s="171"/>
      <c r="I42" s="171"/>
      <c r="J42" s="11" t="s">
        <v>24</v>
      </c>
      <c r="K42" s="170"/>
      <c r="L42" s="171"/>
      <c r="M42" s="171"/>
      <c r="N42" s="82" t="s">
        <v>24</v>
      </c>
      <c r="O42" s="83" t="s">
        <v>63</v>
      </c>
      <c r="P42" s="170"/>
      <c r="Q42" s="171"/>
      <c r="R42" s="171"/>
      <c r="S42" s="11" t="s">
        <v>24</v>
      </c>
      <c r="T42" s="149"/>
      <c r="U42" s="149"/>
      <c r="V42" s="18"/>
      <c r="W42" s="12"/>
      <c r="X42" s="12"/>
      <c r="Y42" s="152">
        <f>旧２!$F$29</f>
        <v>0</v>
      </c>
      <c r="Z42" s="153"/>
      <c r="AA42" s="153"/>
      <c r="AB42" s="11" t="s">
        <v>24</v>
      </c>
      <c r="AC42" s="152">
        <f t="shared" ref="AC42:AC43" si="9">IF(T42="○",ROUNDDOWN(Y42*0.3,0),Y42)</f>
        <v>0</v>
      </c>
      <c r="AD42" s="153"/>
      <c r="AE42" s="153"/>
      <c r="AF42" s="11" t="s">
        <v>24</v>
      </c>
      <c r="AG42" s="162">
        <f>旧２!$F$59</f>
        <v>0</v>
      </c>
      <c r="AH42" s="163"/>
      <c r="AI42" s="163"/>
      <c r="AJ42" s="11" t="s">
        <v>24</v>
      </c>
      <c r="AK42" s="162">
        <f>P42</f>
        <v>0</v>
      </c>
      <c r="AL42" s="163"/>
      <c r="AM42" s="163"/>
      <c r="AN42" s="11" t="s">
        <v>24</v>
      </c>
      <c r="AO42" s="18"/>
      <c r="AP42" s="18"/>
      <c r="AQ42" s="18"/>
      <c r="AR42" s="12"/>
      <c r="AS42" s="162">
        <f t="shared" si="7"/>
        <v>0</v>
      </c>
      <c r="AT42" s="163"/>
      <c r="AU42" s="163"/>
      <c r="AV42" s="57" t="s">
        <v>24</v>
      </c>
      <c r="AW42" s="162">
        <f>IF(T42="○",ROUNDDOWN(旧２!$H$29*0.3,0),旧２!$H$29)</f>
        <v>0</v>
      </c>
      <c r="AX42" s="163"/>
      <c r="AY42" s="163"/>
      <c r="AZ42" s="11" t="s">
        <v>24</v>
      </c>
      <c r="BA42" s="162">
        <f>MAX(AW42+AS42+AK42,0)</f>
        <v>0</v>
      </c>
      <c r="BB42" s="163"/>
      <c r="BC42" s="163"/>
      <c r="BD42" s="11" t="s">
        <v>24</v>
      </c>
      <c r="BE42" s="210">
        <f>IF(AND(D42&lt;&gt;"",OR(G42&gt;550000,AND(O42="以降",K42&gt;600000),AND(O42="以前",K42&gt;1250000))),1,0)</f>
        <v>0</v>
      </c>
      <c r="BF42" s="210"/>
      <c r="BG42" s="210"/>
      <c r="BH42" s="210"/>
    </row>
    <row r="43" spans="1:60" ht="13.5" customHeight="1" x14ac:dyDescent="0.15">
      <c r="A43" s="172" t="s">
        <v>59</v>
      </c>
      <c r="B43" s="172"/>
      <c r="C43" s="172"/>
      <c r="D43" s="173"/>
      <c r="E43" s="174"/>
      <c r="F43" s="10" t="s">
        <v>33</v>
      </c>
      <c r="G43" s="170"/>
      <c r="H43" s="171"/>
      <c r="I43" s="171"/>
      <c r="J43" s="11" t="s">
        <v>24</v>
      </c>
      <c r="K43" s="170"/>
      <c r="L43" s="171"/>
      <c r="M43" s="171"/>
      <c r="N43" s="82" t="s">
        <v>24</v>
      </c>
      <c r="O43" s="83" t="s">
        <v>63</v>
      </c>
      <c r="P43" s="170"/>
      <c r="Q43" s="171"/>
      <c r="R43" s="171"/>
      <c r="S43" s="11" t="s">
        <v>24</v>
      </c>
      <c r="T43" s="149"/>
      <c r="U43" s="149"/>
      <c r="V43" s="18"/>
      <c r="W43" s="12"/>
      <c r="X43" s="12"/>
      <c r="Y43" s="152">
        <f>旧３!$F$29</f>
        <v>0</v>
      </c>
      <c r="Z43" s="153"/>
      <c r="AA43" s="153"/>
      <c r="AB43" s="11" t="s">
        <v>24</v>
      </c>
      <c r="AC43" s="152">
        <f t="shared" si="9"/>
        <v>0</v>
      </c>
      <c r="AD43" s="153"/>
      <c r="AE43" s="153"/>
      <c r="AF43" s="11" t="s">
        <v>24</v>
      </c>
      <c r="AG43" s="162">
        <f>旧３!$F$59</f>
        <v>0</v>
      </c>
      <c r="AH43" s="163"/>
      <c r="AI43" s="163"/>
      <c r="AJ43" s="11" t="s">
        <v>24</v>
      </c>
      <c r="AK43" s="162">
        <f>P43</f>
        <v>0</v>
      </c>
      <c r="AL43" s="163"/>
      <c r="AM43" s="163"/>
      <c r="AN43" s="11" t="s">
        <v>24</v>
      </c>
      <c r="AO43" s="18"/>
      <c r="AP43" s="18"/>
      <c r="AQ43" s="18"/>
      <c r="AR43" s="12"/>
      <c r="AS43" s="162">
        <f t="shared" si="7"/>
        <v>0</v>
      </c>
      <c r="AT43" s="163"/>
      <c r="AU43" s="163"/>
      <c r="AV43" s="57" t="s">
        <v>24</v>
      </c>
      <c r="AW43" s="162">
        <f>IF(T43="○",ROUNDDOWN(旧３!$H$29*0.3,0),旧３!$H$29)</f>
        <v>0</v>
      </c>
      <c r="AX43" s="163"/>
      <c r="AY43" s="163"/>
      <c r="AZ43" s="11" t="s">
        <v>24</v>
      </c>
      <c r="BA43" s="162">
        <f t="shared" si="8"/>
        <v>0</v>
      </c>
      <c r="BB43" s="163"/>
      <c r="BC43" s="163"/>
      <c r="BD43" s="11" t="s">
        <v>24</v>
      </c>
      <c r="BE43" s="210">
        <f>IF(AND(D43&lt;&gt;"",OR(G43&gt;550000,AND(O43="以降",K43&gt;600000),AND(O43="以前",K43&gt;1250000))),1,0)</f>
        <v>0</v>
      </c>
      <c r="BF43" s="210"/>
      <c r="BG43" s="210"/>
      <c r="BH43" s="210"/>
    </row>
    <row r="44" spans="1:60" ht="13.5" customHeight="1" x14ac:dyDescent="0.15">
      <c r="D44" s="58" t="str">
        <f>IF(COUNTIF(D41:E43,"&lt;65")&gt;0,"長寿医療制度へ移っていない方を入力していませんか？","")</f>
        <v/>
      </c>
      <c r="O44" s="58" t="str">
        <f>IF(OR(AND(D41&lt;&gt;"",K41&lt;&gt;"",D41&lt;65,O41="以前"),AND(D42&lt;&gt;"",K42&lt;&gt;"",D42&lt;65,O42="以前"),AND(D43&lt;&gt;"",K43&lt;&gt;"",D43&lt;65,O43="以前"),AND(D41&lt;&gt;"",K41&lt;&gt;"",D41&gt;66,O41="以降"),AND(D42&lt;&gt;"",K42&lt;&gt;"",D42&gt;66,O42="以降"),AND(D43&lt;&gt;"",K43&lt;&gt;"",D43&gt;66,O43="以降")),"年金受給者の年齢を確認してください","")</f>
        <v/>
      </c>
      <c r="BA44" s="74"/>
      <c r="BB44" s="75"/>
      <c r="BC44" s="75"/>
      <c r="BD44" s="76"/>
      <c r="BE44" s="71"/>
      <c r="BF44" s="72"/>
      <c r="BG44" s="72"/>
      <c r="BH44" s="73"/>
    </row>
    <row r="45" spans="1:60" s="16" customFormat="1" ht="13.5" customHeight="1" x14ac:dyDescent="0.15">
      <c r="A45" s="109" t="s">
        <v>147</v>
      </c>
      <c r="B45" s="109"/>
      <c r="C45" s="109"/>
      <c r="D45" s="109"/>
      <c r="E45" s="109"/>
      <c r="F45" s="109"/>
      <c r="G45" s="109"/>
      <c r="H45" s="109"/>
      <c r="I45" s="109"/>
      <c r="J45" s="109"/>
      <c r="K45" s="109"/>
      <c r="L45" s="109"/>
      <c r="M45" s="109"/>
      <c r="N45" s="109"/>
      <c r="O45" s="109"/>
      <c r="P45" s="109"/>
      <c r="Q45" s="109"/>
      <c r="R45" s="109"/>
      <c r="S45" s="109"/>
      <c r="T45" s="109"/>
      <c r="U45" s="176" t="s">
        <v>149</v>
      </c>
      <c r="V45" s="177"/>
      <c r="AS45" s="85"/>
      <c r="AT45" s="85"/>
      <c r="AU45" s="85"/>
      <c r="AV45" s="142"/>
      <c r="AW45" s="164" t="s">
        <v>49</v>
      </c>
      <c r="AX45" s="165"/>
      <c r="AY45" s="165"/>
      <c r="AZ45" s="166"/>
      <c r="BA45" s="160">
        <f>SUM(BA24:BC43)</f>
        <v>0</v>
      </c>
      <c r="BB45" s="161"/>
      <c r="BC45" s="161"/>
      <c r="BD45" s="10" t="s">
        <v>24</v>
      </c>
      <c r="BE45" s="210">
        <f>SUM(BE24:BH43)</f>
        <v>0</v>
      </c>
      <c r="BF45" s="210"/>
      <c r="BG45" s="210"/>
      <c r="BH45" s="210"/>
    </row>
    <row r="46" spans="1:60" s="16" customFormat="1" ht="13.5" customHeight="1" x14ac:dyDescent="0.15">
      <c r="A46" s="109" t="str">
        <f>"　　A.該当の方のうち一人でも"&amp;管理用!E7&amp;"年5月以降に後期高齢者医療保険に移行している。"</f>
        <v>　　A.該当の方のうち一人でも令和2年5月以降に後期高齢者医療保険に移行している。</v>
      </c>
      <c r="B46" s="109"/>
      <c r="C46" s="109"/>
      <c r="D46" s="109"/>
      <c r="E46" s="109"/>
      <c r="F46" s="109"/>
      <c r="G46" s="109"/>
      <c r="H46" s="109"/>
      <c r="I46" s="109"/>
      <c r="J46" s="109"/>
      <c r="K46" s="109"/>
      <c r="L46" s="109"/>
      <c r="M46" s="109"/>
      <c r="N46" s="109"/>
      <c r="O46" s="109"/>
      <c r="P46" s="109"/>
      <c r="Q46" s="109"/>
      <c r="R46" s="109"/>
      <c r="S46" s="109"/>
      <c r="T46" s="109"/>
      <c r="U46" s="178" t="s">
        <v>142</v>
      </c>
      <c r="V46" s="179"/>
      <c r="AS46" s="90"/>
      <c r="AT46" s="90"/>
      <c r="AU46" s="90"/>
      <c r="AV46" s="90"/>
      <c r="AW46" s="14"/>
      <c r="AX46" s="14"/>
      <c r="AY46" s="14"/>
      <c r="AZ46" s="12"/>
    </row>
    <row r="47" spans="1:60" s="16" customFormat="1" ht="13.5" customHeight="1" x14ac:dyDescent="0.15">
      <c r="A47" s="109" t="str">
        <f>"　　B.該当の方全員が"&amp;管理用!E8&amp;"年4月以前に後期高齢者医療保険に移行している。"</f>
        <v>　　B.該当の方全員が平成29年4月以前に後期高齢者医療保険に移行している。</v>
      </c>
      <c r="B47" s="109"/>
      <c r="C47" s="109"/>
      <c r="D47" s="109"/>
      <c r="E47" s="109"/>
      <c r="F47" s="109"/>
      <c r="G47" s="109"/>
      <c r="H47" s="109"/>
      <c r="I47" s="109"/>
      <c r="J47" s="109"/>
      <c r="K47" s="109"/>
      <c r="L47" s="109"/>
      <c r="M47" s="109"/>
      <c r="N47" s="109"/>
      <c r="O47" s="109"/>
      <c r="P47" s="109"/>
      <c r="Q47" s="109"/>
      <c r="R47" s="109"/>
      <c r="S47" s="109"/>
      <c r="T47" s="109"/>
      <c r="U47" s="110"/>
      <c r="V47" s="111"/>
      <c r="AS47" s="90"/>
      <c r="AT47" s="90"/>
      <c r="AU47" s="90"/>
      <c r="AV47" s="90"/>
      <c r="AW47" s="14"/>
      <c r="AX47" s="14"/>
      <c r="AY47" s="14"/>
      <c r="AZ47" s="12"/>
    </row>
    <row r="48" spans="1:60" s="16" customFormat="1" ht="13.5" customHeight="1" x14ac:dyDescent="0.15">
      <c r="A48" s="109" t="s">
        <v>148</v>
      </c>
      <c r="B48" s="109"/>
      <c r="C48" s="109"/>
      <c r="D48" s="109"/>
      <c r="E48" s="109"/>
      <c r="F48" s="109"/>
      <c r="G48" s="109"/>
      <c r="H48" s="109"/>
      <c r="I48" s="109"/>
      <c r="J48" s="109"/>
      <c r="K48" s="109"/>
      <c r="L48" s="109"/>
      <c r="M48" s="109"/>
      <c r="N48" s="109"/>
      <c r="O48" s="109"/>
      <c r="P48" s="109"/>
      <c r="Q48" s="109"/>
      <c r="R48" s="109"/>
      <c r="S48" s="109"/>
      <c r="T48" s="109"/>
      <c r="U48" s="110"/>
      <c r="V48" s="111"/>
      <c r="AS48" s="90"/>
      <c r="AT48" s="90"/>
      <c r="AU48" s="90"/>
      <c r="AV48" s="90"/>
      <c r="AW48" s="14"/>
      <c r="AX48" s="14"/>
      <c r="AY48" s="14"/>
      <c r="AZ48" s="12"/>
    </row>
    <row r="49" spans="1:52" s="16" customFormat="1" ht="13.5" customHeight="1" x14ac:dyDescent="0.15">
      <c r="A49" s="109"/>
      <c r="B49" s="109"/>
      <c r="C49" s="109"/>
      <c r="D49" s="109"/>
      <c r="E49" s="109"/>
      <c r="F49" s="109"/>
      <c r="G49" s="109"/>
      <c r="H49" s="109"/>
      <c r="I49" s="109"/>
      <c r="J49" s="109"/>
      <c r="K49" s="109"/>
      <c r="L49" s="109"/>
      <c r="M49" s="109"/>
      <c r="N49" s="109"/>
      <c r="O49" s="109"/>
      <c r="P49" s="109"/>
      <c r="Q49" s="109"/>
      <c r="R49" s="109"/>
      <c r="S49" s="109"/>
      <c r="T49" s="109"/>
      <c r="U49" s="110"/>
      <c r="V49" s="111" t="str">
        <f>IF(AND(OR(T35="旧国保",COUNTA(D41:E43)&gt;0),U46="　"),"A～Cのいずれかを選択してください","")</f>
        <v/>
      </c>
      <c r="AS49" s="90"/>
      <c r="AT49" s="90"/>
      <c r="AU49" s="90"/>
      <c r="AV49" s="90"/>
      <c r="AW49" s="14"/>
      <c r="AX49" s="14"/>
      <c r="AY49" s="14"/>
      <c r="AZ49" s="12"/>
    </row>
    <row r="50" spans="1:52" ht="13.5" customHeight="1" x14ac:dyDescent="0.15">
      <c r="A50" s="1" t="str">
        <f>CONCATENATE("○あなたの世帯は、",IF(AW53=0,"軽減世帯には該当しないと思われます。",""),IF(AW53&lt;&gt;0,AW53,""),IF(AW53&lt;&gt;0,"割軽減世帯に該当すると思われます。",""))</f>
        <v>○あなたの世帯は、7割軽減世帯に該当すると思われます。</v>
      </c>
    </row>
    <row r="51" spans="1:52" ht="13.5" customHeight="1" x14ac:dyDescent="0.15">
      <c r="A51" s="1" t="str">
        <f>CONCATENATE("○あなたの世帯は特定世帯に",IF(AW54&gt;0,"該当すると思われます。","該当しないと思われます。"))</f>
        <v>○あなたの世帯は特定世帯に該当しないと思われます。</v>
      </c>
      <c r="AS51" s="156"/>
      <c r="AT51" s="156"/>
      <c r="AU51" s="156"/>
      <c r="AV51" s="156"/>
      <c r="AW51" s="92"/>
    </row>
    <row r="52" spans="1:52" ht="13.5" customHeight="1" x14ac:dyDescent="0.15">
      <c r="A52" s="1" t="s">
        <v>92</v>
      </c>
      <c r="AS52" s="157" t="s">
        <v>97</v>
      </c>
      <c r="AT52" s="158"/>
      <c r="AU52" s="158"/>
      <c r="AV52" s="159"/>
      <c r="AW52" s="86">
        <f>COUNTA(D24:E30)+COUNTA(D41:E43)+COUNTIF(T35,"旧国保")</f>
        <v>0</v>
      </c>
    </row>
    <row r="53" spans="1:52" ht="13.5" customHeight="1" x14ac:dyDescent="0.15">
      <c r="A53" s="1" t="s">
        <v>60</v>
      </c>
      <c r="AW53" s="59">
        <f>IF(BA45&lt;=430000+IF(BE45&lt;2,0,(BE45-1)*100000),7,IF(BA45&lt;=305000*AW52+430000+IF(BE45&lt;2,0,(BE45-1)*100000),5,IF(BA45&lt;=560000*AW52+430000+IF(BE45&lt;2,0,(BE45-1)*100000),2,0)))</f>
        <v>7</v>
      </c>
      <c r="AX53" s="154" t="s">
        <v>45</v>
      </c>
      <c r="AY53" s="155"/>
    </row>
    <row r="54" spans="1:52" s="16" customFormat="1" ht="13.5" customHeight="1" x14ac:dyDescent="0.15">
      <c r="A54" s="16" t="s">
        <v>93</v>
      </c>
      <c r="AS54" s="167" t="s">
        <v>46</v>
      </c>
      <c r="AT54" s="168"/>
      <c r="AU54" s="168"/>
      <c r="AV54" s="169"/>
      <c r="AW54" s="89">
        <f>IF(AND(COUNTA(D24:E30)=1,COUNTA(D41:E43)+IF(AND(D35&lt;&gt;"",T35="旧国保"),1,0)&gt;0),IF(U46="A",2,IF(U46="C",1,0)),0)</f>
        <v>0</v>
      </c>
    </row>
    <row r="56" spans="1:52" ht="13.5" customHeight="1" x14ac:dyDescent="0.15">
      <c r="A56" s="1" t="s">
        <v>72</v>
      </c>
    </row>
    <row r="57" spans="1:52" ht="17.25" x14ac:dyDescent="0.15">
      <c r="B57" s="180">
        <f>税額計算!AA56</f>
        <v>0</v>
      </c>
      <c r="C57" s="180"/>
      <c r="D57" s="180"/>
      <c r="E57" s="180"/>
      <c r="F57" s="53" t="s">
        <v>24</v>
      </c>
      <c r="AE57"/>
    </row>
    <row r="58" spans="1:52" ht="13.5" customHeight="1" x14ac:dyDescent="0.15">
      <c r="A58" s="1" t="s">
        <v>48</v>
      </c>
    </row>
  </sheetData>
  <sheetProtection algorithmName="SHA-512" hashValue="/J4/vAqvSmx1A2H7Y9EoRFGaMF7yldkC9oBsyNsk6ugmi6ex6Cc1sZm6MGsv2suzZTNriy8PANZzM6d1Xrl3ew==" saltValue="ypPo2MxlvUkM4Ok826W6tw==" spinCount="100000" sheet="1" objects="1" scenarios="1"/>
  <mergeCells count="206">
    <mergeCell ref="AW28:AY28"/>
    <mergeCell ref="AW29:AY29"/>
    <mergeCell ref="AW30:AY30"/>
    <mergeCell ref="AW35:AY35"/>
    <mergeCell ref="AW41:AY41"/>
    <mergeCell ref="AW42:AY42"/>
    <mergeCell ref="AW43:AY43"/>
    <mergeCell ref="BE41:BH41"/>
    <mergeCell ref="BE42:BH42"/>
    <mergeCell ref="BE43:BH43"/>
    <mergeCell ref="BE45:BH45"/>
    <mergeCell ref="BE23:BH23"/>
    <mergeCell ref="BE24:BH24"/>
    <mergeCell ref="BE25:BH25"/>
    <mergeCell ref="BE26:BH26"/>
    <mergeCell ref="BE27:BH27"/>
    <mergeCell ref="BE28:BH28"/>
    <mergeCell ref="BE29:BH29"/>
    <mergeCell ref="BE30:BH30"/>
    <mergeCell ref="BE35:BH35"/>
    <mergeCell ref="A26:C26"/>
    <mergeCell ref="A27:C27"/>
    <mergeCell ref="AC42:AE42"/>
    <mergeCell ref="AK42:AM42"/>
    <mergeCell ref="T34:U34"/>
    <mergeCell ref="V34:W34"/>
    <mergeCell ref="T35:U35"/>
    <mergeCell ref="V35:W35"/>
    <mergeCell ref="T40:U40"/>
    <mergeCell ref="T41:U41"/>
    <mergeCell ref="T42:U42"/>
    <mergeCell ref="Y35:AA35"/>
    <mergeCell ref="Y41:AA41"/>
    <mergeCell ref="Y42:AA42"/>
    <mergeCell ref="Y26:AA26"/>
    <mergeCell ref="Y27:AA27"/>
    <mergeCell ref="Y28:AA28"/>
    <mergeCell ref="K41:M41"/>
    <mergeCell ref="P41:R41"/>
    <mergeCell ref="AC41:AE41"/>
    <mergeCell ref="AC35:AE35"/>
    <mergeCell ref="K42:M42"/>
    <mergeCell ref="P42:R42"/>
    <mergeCell ref="A40:C40"/>
    <mergeCell ref="AS23:AV23"/>
    <mergeCell ref="AS24:AU24"/>
    <mergeCell ref="AS28:AU28"/>
    <mergeCell ref="AS29:AU29"/>
    <mergeCell ref="AO24:AQ24"/>
    <mergeCell ref="BA27:BC27"/>
    <mergeCell ref="AO27:AQ27"/>
    <mergeCell ref="AO23:AR23"/>
    <mergeCell ref="AO25:AQ25"/>
    <mergeCell ref="AS25:AU25"/>
    <mergeCell ref="AO26:AQ26"/>
    <mergeCell ref="AS26:AU26"/>
    <mergeCell ref="AS27:AU27"/>
    <mergeCell ref="BA23:BD23"/>
    <mergeCell ref="BA24:BC24"/>
    <mergeCell ref="BA28:BC28"/>
    <mergeCell ref="BA29:BC29"/>
    <mergeCell ref="BA25:BC25"/>
    <mergeCell ref="BA26:BC26"/>
    <mergeCell ref="AW23:AZ23"/>
    <mergeCell ref="AW24:AY24"/>
    <mergeCell ref="AW25:AY25"/>
    <mergeCell ref="AW26:AY26"/>
    <mergeCell ref="AW27:AY27"/>
    <mergeCell ref="K28:M28"/>
    <mergeCell ref="K29:M29"/>
    <mergeCell ref="G34:J34"/>
    <mergeCell ref="G28:I28"/>
    <mergeCell ref="K34:O34"/>
    <mergeCell ref="P35:R35"/>
    <mergeCell ref="K40:O40"/>
    <mergeCell ref="P40:S40"/>
    <mergeCell ref="AS30:AU30"/>
    <mergeCell ref="AS35:AU35"/>
    <mergeCell ref="AO30:AQ30"/>
    <mergeCell ref="AK35:AM35"/>
    <mergeCell ref="D16:F16"/>
    <mergeCell ref="D17:F23"/>
    <mergeCell ref="D35:E35"/>
    <mergeCell ref="D28:E28"/>
    <mergeCell ref="G17:J23"/>
    <mergeCell ref="P17:S23"/>
    <mergeCell ref="D25:E25"/>
    <mergeCell ref="D26:E26"/>
    <mergeCell ref="D27:E27"/>
    <mergeCell ref="P16:S16"/>
    <mergeCell ref="P26:R26"/>
    <mergeCell ref="P27:R27"/>
    <mergeCell ref="P24:R24"/>
    <mergeCell ref="P25:R25"/>
    <mergeCell ref="K17:O23"/>
    <mergeCell ref="K16:O16"/>
    <mergeCell ref="G25:I25"/>
    <mergeCell ref="G26:I26"/>
    <mergeCell ref="G27:I27"/>
    <mergeCell ref="K30:M30"/>
    <mergeCell ref="K24:M24"/>
    <mergeCell ref="K25:M25"/>
    <mergeCell ref="K26:M26"/>
    <mergeCell ref="K27:M27"/>
    <mergeCell ref="AK23:AN23"/>
    <mergeCell ref="AC24:AE24"/>
    <mergeCell ref="AG24:AI24"/>
    <mergeCell ref="AK27:AM27"/>
    <mergeCell ref="AK30:AM30"/>
    <mergeCell ref="AK28:AM28"/>
    <mergeCell ref="AC25:AE25"/>
    <mergeCell ref="AC27:AE27"/>
    <mergeCell ref="AG30:AI30"/>
    <mergeCell ref="AC29:AE29"/>
    <mergeCell ref="AG29:AI29"/>
    <mergeCell ref="AC28:AE28"/>
    <mergeCell ref="AG25:AI25"/>
    <mergeCell ref="AG28:AI28"/>
    <mergeCell ref="AC26:AE26"/>
    <mergeCell ref="AG26:AI26"/>
    <mergeCell ref="AG27:AI27"/>
    <mergeCell ref="AK25:AM25"/>
    <mergeCell ref="AK26:AM26"/>
    <mergeCell ref="B57:E57"/>
    <mergeCell ref="A16:C23"/>
    <mergeCell ref="G16:J16"/>
    <mergeCell ref="D30:E30"/>
    <mergeCell ref="D29:E29"/>
    <mergeCell ref="D24:E24"/>
    <mergeCell ref="G24:I24"/>
    <mergeCell ref="G29:I29"/>
    <mergeCell ref="D34:F34"/>
    <mergeCell ref="G40:J40"/>
    <mergeCell ref="A25:C25"/>
    <mergeCell ref="G35:I35"/>
    <mergeCell ref="A35:C35"/>
    <mergeCell ref="A24:C24"/>
    <mergeCell ref="A28:C28"/>
    <mergeCell ref="A29:C29"/>
    <mergeCell ref="A30:C30"/>
    <mergeCell ref="A34:C34"/>
    <mergeCell ref="D40:F40"/>
    <mergeCell ref="A41:C41"/>
    <mergeCell ref="D41:E41"/>
    <mergeCell ref="D42:E42"/>
    <mergeCell ref="G42:I42"/>
    <mergeCell ref="A42:C42"/>
    <mergeCell ref="AS54:AV54"/>
    <mergeCell ref="P43:R43"/>
    <mergeCell ref="AC43:AE43"/>
    <mergeCell ref="A43:C43"/>
    <mergeCell ref="D43:E43"/>
    <mergeCell ref="G43:I43"/>
    <mergeCell ref="K43:M43"/>
    <mergeCell ref="G41:I41"/>
    <mergeCell ref="AK24:AM24"/>
    <mergeCell ref="P28:R28"/>
    <mergeCell ref="P29:R29"/>
    <mergeCell ref="P30:R30"/>
    <mergeCell ref="T28:U28"/>
    <mergeCell ref="T29:U29"/>
    <mergeCell ref="T30:U30"/>
    <mergeCell ref="Y29:AA29"/>
    <mergeCell ref="P34:S34"/>
    <mergeCell ref="AO29:AQ29"/>
    <mergeCell ref="AO28:AQ28"/>
    <mergeCell ref="U45:V45"/>
    <mergeCell ref="U46:V46"/>
    <mergeCell ref="Y43:AA43"/>
    <mergeCell ref="K35:M35"/>
    <mergeCell ref="G30:I30"/>
    <mergeCell ref="AX53:AY53"/>
    <mergeCell ref="AS51:AV51"/>
    <mergeCell ref="AS52:AV52"/>
    <mergeCell ref="BA45:BC45"/>
    <mergeCell ref="AK29:AM29"/>
    <mergeCell ref="AC30:AE30"/>
    <mergeCell ref="Y30:AA30"/>
    <mergeCell ref="BA30:BC30"/>
    <mergeCell ref="BA35:BC35"/>
    <mergeCell ref="BA41:BC41"/>
    <mergeCell ref="BA43:BC43"/>
    <mergeCell ref="BA42:BC42"/>
    <mergeCell ref="AG35:AI35"/>
    <mergeCell ref="AG41:AI41"/>
    <mergeCell ref="AG42:AI42"/>
    <mergeCell ref="AG43:AI43"/>
    <mergeCell ref="AS41:AU41"/>
    <mergeCell ref="AK41:AM41"/>
    <mergeCell ref="AK43:AM43"/>
    <mergeCell ref="AS42:AU42"/>
    <mergeCell ref="AS43:AU43"/>
    <mergeCell ref="AW45:AZ45"/>
    <mergeCell ref="T16:U16"/>
    <mergeCell ref="T17:U23"/>
    <mergeCell ref="T24:U24"/>
    <mergeCell ref="T25:U25"/>
    <mergeCell ref="T26:U26"/>
    <mergeCell ref="T27:U27"/>
    <mergeCell ref="T43:U43"/>
    <mergeCell ref="AC23:AF23"/>
    <mergeCell ref="AG23:AJ23"/>
    <mergeCell ref="AC22:AF22"/>
    <mergeCell ref="Y23:AB23"/>
    <mergeCell ref="Y24:AA24"/>
    <mergeCell ref="Y25:AA25"/>
  </mergeCells>
  <phoneticPr fontId="3"/>
  <conditionalFormatting sqref="O24:O30 O35 O41:O43">
    <cfRule type="expression" dxfId="8" priority="6" stopIfTrue="1">
      <formula>OR(AND(D24&lt;&gt;"",K24&lt;&gt;"",D24&lt;65,O24="以前"),AND(D24&lt;&gt;"",K24&lt;&gt;"",D24&gt;66,O24="以降"))</formula>
    </cfRule>
  </conditionalFormatting>
  <conditionalFormatting sqref="D24:E30">
    <cfRule type="cellIs" dxfId="7" priority="7" stopIfTrue="1" operator="greaterThanOrEqual">
      <formula>75</formula>
    </cfRule>
  </conditionalFormatting>
  <conditionalFormatting sqref="D41:E43">
    <cfRule type="expression" dxfId="6" priority="8" stopIfTrue="1">
      <formula>AND(D41&lt;&gt;"",D41&lt;65)</formula>
    </cfRule>
  </conditionalFormatting>
  <conditionalFormatting sqref="O24:O30">
    <cfRule type="expression" dxfId="5" priority="5" stopIfTrue="1">
      <formula>OR(AND(D24&lt;&gt;"",K24&lt;&gt;"",D24&lt;65,O24="以前"),AND(D24&lt;&gt;"",K24&lt;&gt;"",D24&gt;66,O24="以降"))</formula>
    </cfRule>
  </conditionalFormatting>
  <conditionalFormatting sqref="D24:E30">
    <cfRule type="cellIs" dxfId="4" priority="4" stopIfTrue="1" operator="greaterThanOrEqual">
      <formula>75</formula>
    </cfRule>
  </conditionalFormatting>
  <conditionalFormatting sqref="O35">
    <cfRule type="expression" dxfId="3" priority="3" stopIfTrue="1">
      <formula>OR(AND(D35&lt;&gt;"",K35&lt;&gt;"",D35&lt;65,O35="以前"),AND(D35&lt;&gt;"",K35&lt;&gt;"",D35&gt;66,O35="以降"))</formula>
    </cfRule>
  </conditionalFormatting>
  <conditionalFormatting sqref="O41:O43">
    <cfRule type="expression" dxfId="2" priority="2" stopIfTrue="1">
      <formula>OR(AND(D41&lt;&gt;"",K41&lt;&gt;"",D41&lt;65,O41="以前"),AND(D41&lt;&gt;"",K41&lt;&gt;"",D41&gt;66,O41="以降"))</formula>
    </cfRule>
  </conditionalFormatting>
  <conditionalFormatting sqref="D41:E43">
    <cfRule type="expression" dxfId="1" priority="1" stopIfTrue="1">
      <formula>AND(D41&lt;&gt;"",D41&lt;65)</formula>
    </cfRule>
  </conditionalFormatting>
  <dataValidations count="7">
    <dataValidation type="list" allowBlank="1" showInputMessage="1" showErrorMessage="1" sqref="T35" xr:uid="{00000000-0002-0000-0000-000000000000}">
      <formula1>"擬制世帯主,旧国保"</formula1>
    </dataValidation>
    <dataValidation type="list" allowBlank="1" showInputMessage="1" showErrorMessage="1" sqref="O24:O30 O35 O41:O43" xr:uid="{00000000-0002-0000-0000-000001000000}">
      <formula1>"以降,以前"</formula1>
    </dataValidation>
    <dataValidation type="whole" imeMode="off" operator="greaterThanOrEqual" allowBlank="1" showInputMessage="1" showErrorMessage="1" sqref="G35:I35 G24:I30 D35:E35 K35:M35 K24:M30 D24:E30 V24:V30 K41:M43 G41:I43 D41:E43" xr:uid="{00000000-0002-0000-0000-000002000000}">
      <formula1>0</formula1>
    </dataValidation>
    <dataValidation imeMode="off" operator="greaterThanOrEqual" allowBlank="1" showInputMessage="1" showErrorMessage="1" sqref="P35:R35 P24:R30 P41:R43" xr:uid="{00000000-0002-0000-0000-000003000000}"/>
    <dataValidation type="list" showInputMessage="1" showErrorMessage="1" sqref="T24:U30" xr:uid="{00000000-0002-0000-0000-000004000000}">
      <formula1>"　,○"</formula1>
    </dataValidation>
    <dataValidation type="list" allowBlank="1" showInputMessage="1" showErrorMessage="1" sqref="V35:W35 T41:U43" xr:uid="{00000000-0002-0000-0000-000005000000}">
      <formula1>"　,○"</formula1>
    </dataValidation>
    <dataValidation type="list" allowBlank="1" showInputMessage="1" showErrorMessage="1" sqref="U46:V46" xr:uid="{77A2BEEF-3E81-4428-8C7A-31554CC1A779}">
      <formula1>"　,A,B,C"</formula1>
    </dataValidation>
  </dataValidations>
  <printOptions horizontalCentered="1"/>
  <pageMargins left="0.39370078740157483" right="0.39370078740157483" top="0.59055118110236227" bottom="0.59055118110236227" header="0.51181102362204722" footer="0.5118110236220472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情報入力!G30</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MIN(情報入力!AS30,100000)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情報入力!K30</f>
        <v>0</v>
      </c>
      <c r="G33" s="95" t="s">
        <v>101</v>
      </c>
      <c r="L33" s="99" t="str">
        <f>情報入力!O30</f>
        <v>以降</v>
      </c>
      <c r="M33" s="99">
        <f>管理用!D10</f>
        <v>21917</v>
      </c>
      <c r="N33" s="100" t="s">
        <v>130</v>
      </c>
      <c r="O33" s="100">
        <f>M33-1</f>
        <v>21916</v>
      </c>
      <c r="P33" t="s">
        <v>131</v>
      </c>
    </row>
    <row r="34" spans="2:16" x14ac:dyDescent="0.15">
      <c r="K34" s="101" t="s">
        <v>127</v>
      </c>
      <c r="L34" s="102">
        <f>IF(L33="以降",1,0)</f>
        <v>1</v>
      </c>
    </row>
    <row r="35" spans="2:16" x14ac:dyDescent="0.15">
      <c r="C35" s="297" t="s">
        <v>132</v>
      </c>
      <c r="D35" s="297"/>
      <c r="E35" s="297"/>
      <c r="F35" s="93">
        <f>情報入力!P30</f>
        <v>0</v>
      </c>
      <c r="K35" s="101" t="s">
        <v>128</v>
      </c>
      <c r="L35" s="102">
        <f>IF(L33="以前",1,0)</f>
        <v>0</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800-000000000000}">
      <formula1>$S$20:$S$21</formula1>
    </dataValidation>
  </dataValidation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情報入力!G35</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MIN(情報入力!AS35,100000)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情報入力!K35</f>
        <v>0</v>
      </c>
      <c r="G33" s="95" t="s">
        <v>101</v>
      </c>
      <c r="L33" s="99" t="str">
        <f>情報入力!O35</f>
        <v>以前</v>
      </c>
      <c r="M33" s="99">
        <f>管理用!D10</f>
        <v>21917</v>
      </c>
      <c r="N33" s="100" t="s">
        <v>130</v>
      </c>
      <c r="O33" s="100">
        <f>M33-1</f>
        <v>21916</v>
      </c>
      <c r="P33" t="s">
        <v>131</v>
      </c>
    </row>
    <row r="34" spans="2:16" x14ac:dyDescent="0.15">
      <c r="K34" s="101" t="s">
        <v>127</v>
      </c>
      <c r="L34" s="102">
        <f>IF(L33="以降",1,0)</f>
        <v>0</v>
      </c>
    </row>
    <row r="35" spans="2:16" x14ac:dyDescent="0.15">
      <c r="C35" s="297" t="s">
        <v>132</v>
      </c>
      <c r="D35" s="297"/>
      <c r="E35" s="297"/>
      <c r="F35" s="93">
        <f>情報入力!P35</f>
        <v>0</v>
      </c>
      <c r="K35" s="101" t="s">
        <v>128</v>
      </c>
      <c r="L35" s="102">
        <f>IF(L33="以前",1,0)</f>
        <v>1</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900-000000000000}">
      <formula1>$S$20:$S$21</formula1>
    </dataValidation>
  </dataValidation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情報入力!G41</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情報入力!AS41</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情報入力!K41</f>
        <v>0</v>
      </c>
      <c r="G33" s="95" t="s">
        <v>101</v>
      </c>
      <c r="L33" s="99" t="str">
        <f>情報入力!O41</f>
        <v>以前</v>
      </c>
      <c r="M33" s="99">
        <f>管理用!D10</f>
        <v>21917</v>
      </c>
      <c r="N33" s="100" t="s">
        <v>130</v>
      </c>
      <c r="O33" s="100">
        <f>M33-1</f>
        <v>21916</v>
      </c>
      <c r="P33" t="s">
        <v>131</v>
      </c>
    </row>
    <row r="34" spans="2:16" x14ac:dyDescent="0.15">
      <c r="K34" s="101" t="s">
        <v>127</v>
      </c>
      <c r="L34" s="102">
        <f>IF(L33="以降",1,0)</f>
        <v>0</v>
      </c>
    </row>
    <row r="35" spans="2:16" x14ac:dyDescent="0.15">
      <c r="C35" s="297" t="s">
        <v>132</v>
      </c>
      <c r="D35" s="297"/>
      <c r="E35" s="297"/>
      <c r="F35" s="93">
        <f>情報入力!P41</f>
        <v>0</v>
      </c>
      <c r="K35" s="101" t="s">
        <v>128</v>
      </c>
      <c r="L35" s="102">
        <f>IF(L33="以前",1,0)</f>
        <v>1</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A00-000000000000}">
      <formula1>$S$20:$S$21</formula1>
    </dataValidation>
  </dataValidation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情報入力!G42</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MIN(情報入力!AS42,100000)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情報入力!K42</f>
        <v>0</v>
      </c>
      <c r="G33" s="95" t="s">
        <v>101</v>
      </c>
      <c r="L33" s="99" t="str">
        <f>情報入力!O42</f>
        <v>以前</v>
      </c>
      <c r="M33" s="99">
        <f>管理用!D10</f>
        <v>21917</v>
      </c>
      <c r="N33" s="100" t="s">
        <v>130</v>
      </c>
      <c r="O33" s="100">
        <f>M33-1</f>
        <v>21916</v>
      </c>
      <c r="P33" t="s">
        <v>131</v>
      </c>
    </row>
    <row r="34" spans="2:16" x14ac:dyDescent="0.15">
      <c r="K34" s="101" t="s">
        <v>127</v>
      </c>
      <c r="L34" s="102">
        <f>IF(L33="以降",1,0)</f>
        <v>0</v>
      </c>
    </row>
    <row r="35" spans="2:16" x14ac:dyDescent="0.15">
      <c r="C35" s="297" t="s">
        <v>132</v>
      </c>
      <c r="D35" s="297"/>
      <c r="E35" s="297"/>
      <c r="F35" s="93">
        <f>情報入力!P42</f>
        <v>0</v>
      </c>
      <c r="K35" s="101" t="s">
        <v>128</v>
      </c>
      <c r="L35" s="102">
        <f>IF(L33="以前",1,0)</f>
        <v>1</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B00-000000000000}">
      <formula1>$S$20:$S$21</formula1>
    </dataValidation>
  </dataValidation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情報入力!G43</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MIN(情報入力!AS43,100000)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情報入力!K43</f>
        <v>0</v>
      </c>
      <c r="G33" s="95" t="s">
        <v>101</v>
      </c>
      <c r="L33" s="99" t="str">
        <f>情報入力!O43</f>
        <v>以前</v>
      </c>
      <c r="M33" s="99">
        <f>管理用!D10</f>
        <v>21917</v>
      </c>
      <c r="N33" s="100" t="s">
        <v>130</v>
      </c>
      <c r="O33" s="100">
        <f>M33-1</f>
        <v>21916</v>
      </c>
      <c r="P33" t="s">
        <v>131</v>
      </c>
    </row>
    <row r="34" spans="2:16" x14ac:dyDescent="0.15">
      <c r="K34" s="101" t="s">
        <v>127</v>
      </c>
      <c r="L34" s="102">
        <f>IF(L33="以降",1,0)</f>
        <v>0</v>
      </c>
    </row>
    <row r="35" spans="2:16" x14ac:dyDescent="0.15">
      <c r="C35" s="297" t="s">
        <v>132</v>
      </c>
      <c r="D35" s="297"/>
      <c r="E35" s="297"/>
      <c r="F35" s="93">
        <f>情報入力!P43</f>
        <v>0</v>
      </c>
      <c r="K35" s="101" t="s">
        <v>128</v>
      </c>
      <c r="L35" s="102">
        <f>IF(L33="以前",1,0)</f>
        <v>1</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C00-000000000000}">
      <formula1>$S$20:$S$21</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60"/>
  <sheetViews>
    <sheetView view="pageBreakPreview" topLeftCell="A28" zoomScale="90" zoomScaleNormal="100" zoomScaleSheetLayoutView="90" workbookViewId="0">
      <selection activeCell="U58" sqref="U58:W58"/>
    </sheetView>
  </sheetViews>
  <sheetFormatPr defaultColWidth="4.5" defaultRowHeight="18" customHeight="1" x14ac:dyDescent="0.15"/>
  <cols>
    <col min="1" max="3" width="4.875" style="22" customWidth="1"/>
    <col min="4" max="7" width="4.625" style="22" customWidth="1"/>
    <col min="8" max="8" width="4.125" style="22" customWidth="1"/>
    <col min="9" max="17" width="4.5" style="22" customWidth="1"/>
    <col min="18" max="18" width="4.125" style="22" customWidth="1"/>
    <col min="19" max="28" width="4.5" style="22" customWidth="1"/>
    <col min="29" max="31" width="5" style="22" customWidth="1"/>
    <col min="32" max="40" width="4.5" style="22" customWidth="1"/>
    <col min="41" max="41" width="9.25" style="22" customWidth="1"/>
    <col min="42" max="43" width="4.5" style="22" customWidth="1"/>
    <col min="44" max="16384" width="4.5" style="22"/>
  </cols>
  <sheetData>
    <row r="1" spans="1:46" s="21" customFormat="1" ht="20.100000000000001" customHeight="1" x14ac:dyDescent="0.15">
      <c r="A1" s="20" t="s">
        <v>0</v>
      </c>
    </row>
    <row r="2" spans="1:46" ht="15.95" customHeight="1" x14ac:dyDescent="0.15">
      <c r="AG2" s="23"/>
      <c r="AH2" s="24"/>
      <c r="AI2" s="24"/>
      <c r="AJ2" s="24"/>
      <c r="AK2" s="24"/>
      <c r="AL2" s="24"/>
      <c r="AM2" s="24"/>
      <c r="AN2" s="24"/>
      <c r="AO2" s="24"/>
      <c r="AP2" s="24"/>
      <c r="AQ2" s="24"/>
      <c r="AR2" s="24"/>
      <c r="AS2" s="24"/>
      <c r="AT2" s="24"/>
    </row>
    <row r="3" spans="1:46" ht="17.100000000000001" customHeight="1" thickBot="1" x14ac:dyDescent="0.2">
      <c r="A3" s="260" t="s">
        <v>27</v>
      </c>
      <c r="B3" s="261"/>
      <c r="C3" s="261"/>
      <c r="D3" s="261"/>
      <c r="E3" s="262"/>
      <c r="H3" s="222" t="s">
        <v>7</v>
      </c>
      <c r="I3" s="222"/>
      <c r="J3" s="222"/>
      <c r="K3" s="254" t="str">
        <f>"（前年の課税総所得－基礎控除額）×"&amp;DBCS(管理用!E15)</f>
        <v>（前年の課税総所得－基礎控除額）×７．０％</v>
      </c>
      <c r="L3" s="231"/>
      <c r="M3" s="231"/>
      <c r="N3" s="231"/>
      <c r="O3" s="231"/>
      <c r="P3" s="231"/>
      <c r="Q3" s="231"/>
      <c r="R3" s="231"/>
      <c r="S3" s="255"/>
      <c r="T3" s="255"/>
      <c r="U3" s="255"/>
      <c r="X3" s="291" t="s">
        <v>17</v>
      </c>
      <c r="Y3" s="291"/>
      <c r="Z3" s="291"/>
      <c r="AB3" s="291" t="s">
        <v>66</v>
      </c>
      <c r="AC3" s="291"/>
      <c r="AD3" s="291"/>
      <c r="AH3" s="26"/>
    </row>
    <row r="4" spans="1:46" ht="17.100000000000001" customHeight="1" thickBot="1" x14ac:dyDescent="0.2">
      <c r="A4" s="263"/>
      <c r="B4" s="264"/>
      <c r="C4" s="264"/>
      <c r="D4" s="264"/>
      <c r="E4" s="265"/>
      <c r="H4" s="222" t="s">
        <v>8</v>
      </c>
      <c r="I4" s="222"/>
      <c r="J4" s="222"/>
      <c r="K4" s="231" t="s">
        <v>74</v>
      </c>
      <c r="L4" s="231"/>
      <c r="M4" s="231"/>
      <c r="N4" s="231"/>
      <c r="O4" s="231"/>
      <c r="P4" s="231"/>
      <c r="Q4" s="231"/>
      <c r="R4" s="231"/>
      <c r="S4" s="255"/>
      <c r="T4" s="255"/>
      <c r="U4" s="255"/>
      <c r="X4" s="27" t="str">
        <f>IF(AG4=0,"■","□")</f>
        <v>□</v>
      </c>
      <c r="Y4" s="290" t="s">
        <v>22</v>
      </c>
      <c r="Z4" s="290"/>
      <c r="AB4" s="27" t="str">
        <f>IF(AG6=2,"■","□")</f>
        <v>□</v>
      </c>
      <c r="AC4" s="293" t="s">
        <v>95</v>
      </c>
      <c r="AD4" s="293"/>
      <c r="AE4" s="293"/>
      <c r="AG4" s="28">
        <f>情報入力!AW53</f>
        <v>7</v>
      </c>
      <c r="AH4" s="29" t="s">
        <v>61</v>
      </c>
      <c r="AI4" s="30"/>
      <c r="AJ4" s="30"/>
      <c r="AK4" s="30"/>
    </row>
    <row r="5" spans="1:46" ht="17.100000000000001" customHeight="1" thickBot="1" x14ac:dyDescent="0.2">
      <c r="H5" s="222" t="s">
        <v>12</v>
      </c>
      <c r="I5" s="222"/>
      <c r="J5" s="222"/>
      <c r="K5" s="246" t="s">
        <v>168</v>
      </c>
      <c r="L5" s="247"/>
      <c r="M5" s="247"/>
      <c r="N5" s="247"/>
      <c r="O5" s="247"/>
      <c r="P5" s="247"/>
      <c r="Q5" s="235" t="str">
        <f>DBCS(管理用!E16)</f>
        <v>３０，６００</v>
      </c>
      <c r="R5" s="235"/>
      <c r="S5" s="235"/>
      <c r="T5" s="235"/>
      <c r="U5" s="236"/>
      <c r="X5" s="27" t="str">
        <f>IF(AG4=7,"■","□")</f>
        <v>■</v>
      </c>
      <c r="Y5" s="292" t="s">
        <v>19</v>
      </c>
      <c r="Z5" s="292"/>
      <c r="AB5" s="27" t="str">
        <f>IF(AG6=1,"■","□")</f>
        <v>□</v>
      </c>
      <c r="AC5" s="293" t="s">
        <v>96</v>
      </c>
      <c r="AD5" s="293"/>
      <c r="AE5" s="293"/>
      <c r="AF5" s="31"/>
    </row>
    <row r="6" spans="1:46" ht="17.100000000000001" customHeight="1" thickBot="1" x14ac:dyDescent="0.2">
      <c r="H6" s="222" t="s">
        <v>10</v>
      </c>
      <c r="I6" s="222"/>
      <c r="J6" s="222"/>
      <c r="K6" s="233" t="s">
        <v>169</v>
      </c>
      <c r="L6" s="234"/>
      <c r="M6" s="234"/>
      <c r="N6" s="234"/>
      <c r="O6" s="234"/>
      <c r="P6" s="234"/>
      <c r="Q6" s="235" t="str">
        <f>DBCS(管理用!E17)</f>
        <v>２８，７００</v>
      </c>
      <c r="R6" s="235"/>
      <c r="S6" s="235"/>
      <c r="T6" s="235"/>
      <c r="U6" s="236"/>
      <c r="X6" s="27" t="str">
        <f>IF(AG4=5,"■","□")</f>
        <v>□</v>
      </c>
      <c r="Y6" s="290" t="s">
        <v>20</v>
      </c>
      <c r="Z6" s="290"/>
      <c r="AA6" s="56"/>
      <c r="AB6" s="27" t="str">
        <f>IF(AG6=0,"■","□")</f>
        <v>■</v>
      </c>
      <c r="AC6" s="292" t="s">
        <v>67</v>
      </c>
      <c r="AD6" s="292"/>
      <c r="AE6" s="292"/>
      <c r="AG6" s="28">
        <f>情報入力!AW54</f>
        <v>0</v>
      </c>
      <c r="AH6" s="29" t="s">
        <v>62</v>
      </c>
    </row>
    <row r="7" spans="1:46" ht="17.100000000000001" customHeight="1" x14ac:dyDescent="0.15">
      <c r="H7" s="222" t="s">
        <v>13</v>
      </c>
      <c r="I7" s="222"/>
      <c r="J7" s="222"/>
      <c r="K7" s="251" t="str">
        <f>DBCS(管理用!E18)</f>
        <v>６５万</v>
      </c>
      <c r="L7" s="252"/>
      <c r="M7" s="252"/>
      <c r="N7" s="252"/>
      <c r="O7" s="252"/>
      <c r="P7" s="252"/>
      <c r="Q7" s="252"/>
      <c r="R7" s="252"/>
      <c r="S7" s="253"/>
      <c r="T7" s="253"/>
      <c r="U7" s="253"/>
      <c r="X7" s="27" t="str">
        <f>IF(AG4=2,"■","□")</f>
        <v>□</v>
      </c>
      <c r="Y7" s="290" t="s">
        <v>21</v>
      </c>
      <c r="Z7" s="290"/>
      <c r="AA7" s="56"/>
      <c r="AB7" s="56"/>
      <c r="AF7" s="29"/>
    </row>
    <row r="8" spans="1:46" ht="15" customHeight="1" x14ac:dyDescent="0.15">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row>
    <row r="9" spans="1:46" ht="20.100000000000001" customHeight="1" x14ac:dyDescent="0.15">
      <c r="A9" s="256" t="s">
        <v>1</v>
      </c>
      <c r="B9" s="256"/>
      <c r="C9" s="256"/>
      <c r="D9" s="231"/>
      <c r="E9" s="231" t="s">
        <v>75</v>
      </c>
      <c r="F9" s="231"/>
      <c r="G9" s="231"/>
      <c r="H9" s="231"/>
      <c r="I9" s="231" t="s">
        <v>76</v>
      </c>
      <c r="J9" s="231"/>
      <c r="K9" s="231"/>
      <c r="L9" s="231" t="s">
        <v>77</v>
      </c>
      <c r="M9" s="231"/>
      <c r="N9" s="231"/>
      <c r="O9" s="231"/>
      <c r="P9" s="257" t="str">
        <f>"④（③×"&amp;DBCS(管理用!E15)&amp;"）"</f>
        <v>④（③×７．０％）</v>
      </c>
      <c r="Q9" s="222"/>
      <c r="R9" s="222"/>
      <c r="S9" s="222"/>
      <c r="T9" s="222" t="s">
        <v>78</v>
      </c>
      <c r="U9" s="222"/>
      <c r="V9" s="222"/>
      <c r="W9" s="222"/>
      <c r="X9" s="222" t="s">
        <v>79</v>
      </c>
      <c r="Y9" s="223"/>
      <c r="Z9" s="223"/>
      <c r="AA9" s="223"/>
      <c r="AB9" s="231" t="s">
        <v>80</v>
      </c>
      <c r="AC9" s="223"/>
      <c r="AD9" s="223"/>
      <c r="AE9" s="223"/>
    </row>
    <row r="10" spans="1:46" ht="23.1" customHeight="1" x14ac:dyDescent="0.15">
      <c r="A10" s="256"/>
      <c r="B10" s="256"/>
      <c r="C10" s="256"/>
      <c r="D10" s="231"/>
      <c r="E10" s="258" t="s">
        <v>3</v>
      </c>
      <c r="F10" s="258"/>
      <c r="G10" s="258"/>
      <c r="H10" s="258"/>
      <c r="I10" s="240" t="s">
        <v>4</v>
      </c>
      <c r="J10" s="240"/>
      <c r="K10" s="240"/>
      <c r="L10" s="218" t="s">
        <v>6</v>
      </c>
      <c r="M10" s="218"/>
      <c r="N10" s="218"/>
      <c r="O10" s="218"/>
      <c r="P10" s="220" t="s">
        <v>7</v>
      </c>
      <c r="Q10" s="220"/>
      <c r="R10" s="220"/>
      <c r="S10" s="220"/>
      <c r="T10" s="220" t="s">
        <v>9</v>
      </c>
      <c r="U10" s="220"/>
      <c r="V10" s="220"/>
      <c r="W10" s="220"/>
      <c r="X10" s="220" t="s">
        <v>10</v>
      </c>
      <c r="Y10" s="221"/>
      <c r="Z10" s="221"/>
      <c r="AA10" s="221"/>
      <c r="AB10" s="218" t="s">
        <v>11</v>
      </c>
      <c r="AC10" s="219"/>
      <c r="AD10" s="219"/>
      <c r="AE10" s="219"/>
    </row>
    <row r="11" spans="1:46" ht="25.5" customHeight="1" x14ac:dyDescent="0.15">
      <c r="A11" s="266"/>
      <c r="B11" s="267"/>
      <c r="C11" s="267"/>
      <c r="D11" s="33" t="str">
        <f>IF(情報入力!D24="","",情報入力!D24)</f>
        <v/>
      </c>
      <c r="E11" s="241">
        <f>IF(D11="",0,情報入力!AO24)</f>
        <v>0</v>
      </c>
      <c r="F11" s="242"/>
      <c r="G11" s="242"/>
      <c r="H11" s="242"/>
      <c r="I11" s="243">
        <f>IF(AO11&lt;=24000000,430000,IF(AND(AO11&gt;=24000001,AO11&lt;=24500000),290000,IF(AND(AO11&gt;=24500001,AO11&lt;=25000000),150000,IF(AO11&gt;=25000001,0))))</f>
        <v>430000</v>
      </c>
      <c r="J11" s="243"/>
      <c r="K11" s="243"/>
      <c r="L11" s="241">
        <f t="shared" ref="L11:L17" si="0">IF(E11&gt;I11,E11-I11,0)</f>
        <v>0</v>
      </c>
      <c r="M11" s="244"/>
      <c r="N11" s="244"/>
      <c r="O11" s="244"/>
      <c r="P11" s="245">
        <f>ROUNDDOWN(L11*管理用!$D$15,0)</f>
        <v>0</v>
      </c>
      <c r="Q11" s="245"/>
      <c r="R11" s="245"/>
      <c r="S11" s="245"/>
      <c r="T11" s="232">
        <f>IF(D11="",0,管理用!$D$16*(10-$AG$4)/10*IF(D11&lt;6,0.5,1))</f>
        <v>0</v>
      </c>
      <c r="U11" s="232"/>
      <c r="V11" s="232"/>
      <c r="W11" s="232"/>
      <c r="X11" s="237">
        <f>IF(AND(D11="",D12="",D13="",D14="",D15="",D16="",D17=""),0,管理用!$D$17*(10-$AG$4)/10*(4-AG6)/4)</f>
        <v>0</v>
      </c>
      <c r="Y11" s="238"/>
      <c r="Z11" s="238"/>
      <c r="AA11" s="239"/>
      <c r="AB11" s="227">
        <f>SUM(P11:AA11)</f>
        <v>0</v>
      </c>
      <c r="AC11" s="228"/>
      <c r="AD11" s="228"/>
      <c r="AE11" s="228"/>
      <c r="AO11" s="104">
        <f>情報入力!AO24</f>
        <v>0</v>
      </c>
    </row>
    <row r="12" spans="1:46" ht="25.5" customHeight="1" x14ac:dyDescent="0.15">
      <c r="A12" s="266"/>
      <c r="B12" s="267"/>
      <c r="C12" s="267"/>
      <c r="D12" s="33" t="str">
        <f>IF(情報入力!D25="","",情報入力!D25)</f>
        <v/>
      </c>
      <c r="E12" s="241">
        <f>IF(D12="",0,情報入力!AO25)</f>
        <v>0</v>
      </c>
      <c r="F12" s="242"/>
      <c r="G12" s="242"/>
      <c r="H12" s="242"/>
      <c r="I12" s="243">
        <f t="shared" ref="I12:I17" si="1">IF(AO12&lt;=24000000,430000,IF(AND(AO12&gt;=24000001,AO12&lt;=24500000),290000,IF(AND(AO12&gt;=24500001,AO12&lt;=25000000),150000,IF(AO12&gt;=25000001,0))))</f>
        <v>430000</v>
      </c>
      <c r="J12" s="243"/>
      <c r="K12" s="243"/>
      <c r="L12" s="241">
        <f t="shared" si="0"/>
        <v>0</v>
      </c>
      <c r="M12" s="244"/>
      <c r="N12" s="244"/>
      <c r="O12" s="244"/>
      <c r="P12" s="245">
        <f>ROUNDDOWN(L12*管理用!$D$15,0)</f>
        <v>0</v>
      </c>
      <c r="Q12" s="245"/>
      <c r="R12" s="245"/>
      <c r="S12" s="245"/>
      <c r="T12" s="232">
        <f>IF(D12="",0,管理用!$D$16*(10-$AG$4)/10*IF(D12&lt;6,0.5,1))</f>
        <v>0</v>
      </c>
      <c r="U12" s="232"/>
      <c r="V12" s="232"/>
      <c r="W12" s="232"/>
      <c r="X12" s="229"/>
      <c r="Y12" s="230"/>
      <c r="Z12" s="230"/>
      <c r="AA12" s="230"/>
      <c r="AB12" s="227">
        <f t="shared" ref="AB12:AB17" si="2">SUM(P12:AA12)</f>
        <v>0</v>
      </c>
      <c r="AC12" s="228"/>
      <c r="AD12" s="228"/>
      <c r="AE12" s="228"/>
      <c r="AO12" s="104">
        <f>情報入力!AO25</f>
        <v>0</v>
      </c>
    </row>
    <row r="13" spans="1:46" ht="25.5" customHeight="1" x14ac:dyDescent="0.15">
      <c r="A13" s="266"/>
      <c r="B13" s="267"/>
      <c r="C13" s="267"/>
      <c r="D13" s="33" t="str">
        <f>IF(情報入力!D26="","",情報入力!D26)</f>
        <v/>
      </c>
      <c r="E13" s="241">
        <f>IF(D13="",0,情報入力!AO26)</f>
        <v>0</v>
      </c>
      <c r="F13" s="242"/>
      <c r="G13" s="242"/>
      <c r="H13" s="242"/>
      <c r="I13" s="243">
        <f t="shared" si="1"/>
        <v>430000</v>
      </c>
      <c r="J13" s="243"/>
      <c r="K13" s="243"/>
      <c r="L13" s="241">
        <f t="shared" si="0"/>
        <v>0</v>
      </c>
      <c r="M13" s="244"/>
      <c r="N13" s="244"/>
      <c r="O13" s="244"/>
      <c r="P13" s="245">
        <f>ROUNDDOWN(L13*管理用!$D$15,0)</f>
        <v>0</v>
      </c>
      <c r="Q13" s="245"/>
      <c r="R13" s="245"/>
      <c r="S13" s="245"/>
      <c r="T13" s="232">
        <f>IF(D13="",0,管理用!$D$16*(10-$AG$4)/10*IF(D13&lt;6,0.5,1))</f>
        <v>0</v>
      </c>
      <c r="U13" s="232"/>
      <c r="V13" s="232"/>
      <c r="W13" s="232"/>
      <c r="X13" s="229"/>
      <c r="Y13" s="230"/>
      <c r="Z13" s="230"/>
      <c r="AA13" s="230"/>
      <c r="AB13" s="227">
        <f t="shared" si="2"/>
        <v>0</v>
      </c>
      <c r="AC13" s="228"/>
      <c r="AD13" s="228"/>
      <c r="AE13" s="228"/>
      <c r="AO13" s="104">
        <f>情報入力!AO26</f>
        <v>0</v>
      </c>
    </row>
    <row r="14" spans="1:46" ht="25.5" customHeight="1" x14ac:dyDescent="0.15">
      <c r="A14" s="266"/>
      <c r="B14" s="267"/>
      <c r="C14" s="267"/>
      <c r="D14" s="33" t="str">
        <f>IF(情報入力!D27="","",情報入力!D27)</f>
        <v/>
      </c>
      <c r="E14" s="241">
        <f>IF(D14="",0,情報入力!AO27)</f>
        <v>0</v>
      </c>
      <c r="F14" s="242"/>
      <c r="G14" s="242"/>
      <c r="H14" s="242"/>
      <c r="I14" s="243">
        <f t="shared" si="1"/>
        <v>430000</v>
      </c>
      <c r="J14" s="243"/>
      <c r="K14" s="243"/>
      <c r="L14" s="241">
        <f t="shared" si="0"/>
        <v>0</v>
      </c>
      <c r="M14" s="244"/>
      <c r="N14" s="244"/>
      <c r="O14" s="244"/>
      <c r="P14" s="245">
        <f>ROUNDDOWN(L14*管理用!$D$15,0)</f>
        <v>0</v>
      </c>
      <c r="Q14" s="245"/>
      <c r="R14" s="245"/>
      <c r="S14" s="245"/>
      <c r="T14" s="232">
        <f>IF(D14="",0,管理用!$D$16*(10-$AG$4)/10*IF(D14&lt;6,0.5,1))</f>
        <v>0</v>
      </c>
      <c r="U14" s="232"/>
      <c r="V14" s="232"/>
      <c r="W14" s="232"/>
      <c r="X14" s="229"/>
      <c r="Y14" s="230"/>
      <c r="Z14" s="230"/>
      <c r="AA14" s="230"/>
      <c r="AB14" s="227">
        <f t="shared" si="2"/>
        <v>0</v>
      </c>
      <c r="AC14" s="228"/>
      <c r="AD14" s="228"/>
      <c r="AE14" s="228"/>
      <c r="AO14" s="104">
        <f>情報入力!AO27</f>
        <v>0</v>
      </c>
    </row>
    <row r="15" spans="1:46" ht="25.5" customHeight="1" x14ac:dyDescent="0.15">
      <c r="A15" s="267"/>
      <c r="B15" s="267"/>
      <c r="C15" s="267"/>
      <c r="D15" s="33" t="str">
        <f>IF(情報入力!D28="","",情報入力!D28)</f>
        <v/>
      </c>
      <c r="E15" s="241">
        <f>IF(D15="",0,情報入力!AO28)</f>
        <v>0</v>
      </c>
      <c r="F15" s="242"/>
      <c r="G15" s="242"/>
      <c r="H15" s="242"/>
      <c r="I15" s="243">
        <f t="shared" si="1"/>
        <v>430000</v>
      </c>
      <c r="J15" s="243"/>
      <c r="K15" s="243"/>
      <c r="L15" s="241">
        <f t="shared" si="0"/>
        <v>0</v>
      </c>
      <c r="M15" s="244"/>
      <c r="N15" s="244"/>
      <c r="O15" s="244"/>
      <c r="P15" s="245">
        <f>ROUNDDOWN(L15*管理用!$D$15,0)</f>
        <v>0</v>
      </c>
      <c r="Q15" s="245"/>
      <c r="R15" s="245"/>
      <c r="S15" s="245"/>
      <c r="T15" s="232">
        <f>IF(D15="",0,管理用!$D$16*(10-$AG$4)/10*IF(D15&lt;6,0.5,1))</f>
        <v>0</v>
      </c>
      <c r="U15" s="232"/>
      <c r="V15" s="232"/>
      <c r="W15" s="232"/>
      <c r="X15" s="229"/>
      <c r="Y15" s="230"/>
      <c r="Z15" s="230"/>
      <c r="AA15" s="230"/>
      <c r="AB15" s="227">
        <f t="shared" si="2"/>
        <v>0</v>
      </c>
      <c r="AC15" s="228"/>
      <c r="AD15" s="228"/>
      <c r="AE15" s="228"/>
      <c r="AF15" s="34"/>
      <c r="AO15" s="104">
        <f>情報入力!AO28</f>
        <v>0</v>
      </c>
    </row>
    <row r="16" spans="1:46" ht="25.5" customHeight="1" x14ac:dyDescent="0.15">
      <c r="A16" s="267"/>
      <c r="B16" s="267"/>
      <c r="C16" s="267"/>
      <c r="D16" s="33" t="str">
        <f>IF(情報入力!D29="","",情報入力!D29)</f>
        <v/>
      </c>
      <c r="E16" s="241">
        <f>IF(D16="",0,情報入力!AO29)</f>
        <v>0</v>
      </c>
      <c r="F16" s="242"/>
      <c r="G16" s="242"/>
      <c r="H16" s="242"/>
      <c r="I16" s="243">
        <f t="shared" si="1"/>
        <v>430000</v>
      </c>
      <c r="J16" s="243"/>
      <c r="K16" s="243"/>
      <c r="L16" s="241">
        <f t="shared" si="0"/>
        <v>0</v>
      </c>
      <c r="M16" s="244"/>
      <c r="N16" s="244"/>
      <c r="O16" s="244"/>
      <c r="P16" s="245">
        <f>ROUNDDOWN(L16*管理用!$D$15,0)</f>
        <v>0</v>
      </c>
      <c r="Q16" s="245"/>
      <c r="R16" s="245"/>
      <c r="S16" s="245"/>
      <c r="T16" s="232">
        <f>IF(D16="",0,管理用!$D$16*(10-$AG$4)/10*IF(D16&lt;6,0.5,1))</f>
        <v>0</v>
      </c>
      <c r="U16" s="232"/>
      <c r="V16" s="232"/>
      <c r="W16" s="232"/>
      <c r="X16" s="229"/>
      <c r="Y16" s="230"/>
      <c r="Z16" s="230"/>
      <c r="AA16" s="230"/>
      <c r="AB16" s="227">
        <f t="shared" si="2"/>
        <v>0</v>
      </c>
      <c r="AC16" s="228"/>
      <c r="AD16" s="228"/>
      <c r="AE16" s="228"/>
      <c r="AF16" s="34"/>
      <c r="AO16" s="104">
        <f>情報入力!AO29</f>
        <v>0</v>
      </c>
    </row>
    <row r="17" spans="1:43" ht="25.5" customHeight="1" x14ac:dyDescent="0.15">
      <c r="A17" s="267"/>
      <c r="B17" s="267"/>
      <c r="C17" s="267"/>
      <c r="D17" s="33" t="str">
        <f>IF(情報入力!D30="","",情報入力!D30)</f>
        <v/>
      </c>
      <c r="E17" s="241">
        <f>IF(D17="",0,情報入力!AO30)</f>
        <v>0</v>
      </c>
      <c r="F17" s="242"/>
      <c r="G17" s="242"/>
      <c r="H17" s="242"/>
      <c r="I17" s="243">
        <f t="shared" si="1"/>
        <v>430000</v>
      </c>
      <c r="J17" s="243"/>
      <c r="K17" s="243"/>
      <c r="L17" s="241">
        <f t="shared" si="0"/>
        <v>0</v>
      </c>
      <c r="M17" s="244"/>
      <c r="N17" s="244"/>
      <c r="O17" s="244"/>
      <c r="P17" s="245">
        <f>ROUNDDOWN(L17*管理用!$D$15,0)</f>
        <v>0</v>
      </c>
      <c r="Q17" s="245"/>
      <c r="R17" s="245"/>
      <c r="S17" s="245"/>
      <c r="T17" s="232">
        <f>IF(D17="",0,管理用!$D$16*(10-$AG$4)/10*IF(D17&lt;6,0.5,1))</f>
        <v>0</v>
      </c>
      <c r="U17" s="232"/>
      <c r="V17" s="232"/>
      <c r="W17" s="232"/>
      <c r="X17" s="229"/>
      <c r="Y17" s="230"/>
      <c r="Z17" s="230"/>
      <c r="AA17" s="230"/>
      <c r="AB17" s="227">
        <f t="shared" si="2"/>
        <v>0</v>
      </c>
      <c r="AC17" s="228"/>
      <c r="AD17" s="228"/>
      <c r="AE17" s="228"/>
      <c r="AF17" s="34"/>
      <c r="AO17" s="104">
        <f>情報入力!AO30</f>
        <v>0</v>
      </c>
    </row>
    <row r="18" spans="1:43" ht="27.6" customHeight="1" x14ac:dyDescent="0.15">
      <c r="A18" s="256" t="s">
        <v>16</v>
      </c>
      <c r="B18" s="256"/>
      <c r="C18" s="256"/>
      <c r="D18" s="256"/>
      <c r="E18" s="241"/>
      <c r="F18" s="242"/>
      <c r="G18" s="242"/>
      <c r="H18" s="242"/>
      <c r="I18" s="227"/>
      <c r="J18" s="227"/>
      <c r="K18" s="227"/>
      <c r="L18" s="241" t="s">
        <v>18</v>
      </c>
      <c r="M18" s="244"/>
      <c r="N18" s="244"/>
      <c r="O18" s="244"/>
      <c r="P18" s="222"/>
      <c r="Q18" s="222"/>
      <c r="R18" s="222"/>
      <c r="S18" s="222"/>
      <c r="T18" s="222" t="s">
        <v>5</v>
      </c>
      <c r="U18" s="222"/>
      <c r="V18" s="222"/>
      <c r="W18" s="222"/>
      <c r="X18" s="222" t="s">
        <v>18</v>
      </c>
      <c r="Y18" s="223"/>
      <c r="Z18" s="223"/>
      <c r="AA18" s="223"/>
      <c r="AB18" s="224">
        <f>IF(ROUNDDOWN(SUM(AB11:AE17),-2)&gt;管理用!$D$18,管理用!$D$18,ROUNDDOWN(SUM(AB11:AE17),-2))</f>
        <v>0</v>
      </c>
      <c r="AC18" s="225"/>
      <c r="AD18" s="225"/>
      <c r="AE18" s="226"/>
      <c r="AF18" s="35"/>
    </row>
    <row r="19" spans="1:43" ht="18" customHeight="1" x14ac:dyDescent="0.15">
      <c r="AE19" s="36" t="s">
        <v>29</v>
      </c>
      <c r="AM19" s="34"/>
      <c r="AN19" s="34"/>
      <c r="AO19" s="34"/>
      <c r="AP19" s="34"/>
      <c r="AQ19" s="37"/>
    </row>
    <row r="20" spans="1:43" ht="17.100000000000001" customHeight="1" x14ac:dyDescent="0.15">
      <c r="A20" s="260" t="s">
        <v>68</v>
      </c>
      <c r="B20" s="261"/>
      <c r="C20" s="261"/>
      <c r="D20" s="261"/>
      <c r="E20" s="262"/>
      <c r="H20" s="222" t="s">
        <v>7</v>
      </c>
      <c r="I20" s="222"/>
      <c r="J20" s="222"/>
      <c r="K20" s="254" t="str">
        <f>"（前年の課税総所得－基礎控除額）×"&amp;DBCS(管理用!E19)</f>
        <v>（前年の課税総所得－基礎控除額）×２．２％</v>
      </c>
      <c r="L20" s="231"/>
      <c r="M20" s="231"/>
      <c r="N20" s="231"/>
      <c r="O20" s="231"/>
      <c r="P20" s="231"/>
      <c r="Q20" s="231"/>
      <c r="R20" s="231"/>
      <c r="S20" s="255"/>
      <c r="T20" s="255"/>
      <c r="U20" s="255"/>
      <c r="V20" s="23"/>
      <c r="W20" s="23"/>
      <c r="X20" s="23"/>
      <c r="Y20" s="23"/>
      <c r="Z20" s="23"/>
      <c r="AA20" s="23"/>
      <c r="AB20" s="38"/>
      <c r="AC20" s="39"/>
      <c r="AD20" s="39"/>
      <c r="AE20" s="39"/>
      <c r="AM20" s="34"/>
      <c r="AN20" s="34"/>
      <c r="AO20" s="34"/>
      <c r="AP20" s="34"/>
      <c r="AQ20" s="34"/>
    </row>
    <row r="21" spans="1:43" ht="17.100000000000001" customHeight="1" x14ac:dyDescent="0.15">
      <c r="A21" s="263"/>
      <c r="B21" s="264"/>
      <c r="C21" s="264"/>
      <c r="D21" s="264"/>
      <c r="E21" s="265"/>
      <c r="H21" s="222" t="s">
        <v>8</v>
      </c>
      <c r="I21" s="222"/>
      <c r="J21" s="222"/>
      <c r="K21" s="231" t="s">
        <v>74</v>
      </c>
      <c r="L21" s="231"/>
      <c r="M21" s="231"/>
      <c r="N21" s="231"/>
      <c r="O21" s="231"/>
      <c r="P21" s="231"/>
      <c r="Q21" s="231"/>
      <c r="R21" s="231"/>
      <c r="S21" s="255"/>
      <c r="T21" s="255"/>
      <c r="U21" s="255"/>
      <c r="V21" s="23"/>
      <c r="W21" s="23"/>
      <c r="X21" s="23"/>
      <c r="Y21" s="32"/>
      <c r="Z21" s="32"/>
      <c r="AA21" s="32"/>
      <c r="AB21" s="23"/>
      <c r="AC21" s="45"/>
      <c r="AD21" s="42"/>
      <c r="AE21" s="39"/>
      <c r="AF21" s="41"/>
      <c r="AM21" s="34"/>
      <c r="AN21" s="34"/>
      <c r="AO21" s="37"/>
      <c r="AP21" s="37"/>
      <c r="AQ21" s="37"/>
    </row>
    <row r="22" spans="1:43" ht="17.100000000000001" customHeight="1" x14ac:dyDescent="0.15">
      <c r="H22" s="222" t="s">
        <v>12</v>
      </c>
      <c r="I22" s="222"/>
      <c r="J22" s="222"/>
      <c r="K22" s="246" t="s">
        <v>168</v>
      </c>
      <c r="L22" s="247"/>
      <c r="M22" s="247"/>
      <c r="N22" s="247"/>
      <c r="O22" s="247"/>
      <c r="P22" s="247"/>
      <c r="Q22" s="235" t="str">
        <f>DBCS(管理用!E20)</f>
        <v>９，８００</v>
      </c>
      <c r="R22" s="235"/>
      <c r="S22" s="235"/>
      <c r="T22" s="235"/>
      <c r="U22" s="236"/>
      <c r="V22" s="42"/>
      <c r="W22" s="42"/>
      <c r="X22" s="42"/>
      <c r="Y22" s="43"/>
      <c r="Z22" s="43"/>
      <c r="AA22" s="52"/>
      <c r="AB22" s="87"/>
      <c r="AC22" s="87"/>
      <c r="AD22" s="23"/>
      <c r="AE22" s="38"/>
      <c r="AF22" s="31"/>
      <c r="AM22" s="34"/>
      <c r="AN22" s="34"/>
      <c r="AO22" s="34"/>
      <c r="AP22" s="34"/>
      <c r="AQ22" s="34"/>
    </row>
    <row r="23" spans="1:43" ht="17.100000000000001" customHeight="1" x14ac:dyDescent="0.15">
      <c r="H23" s="222" t="s">
        <v>10</v>
      </c>
      <c r="I23" s="222"/>
      <c r="J23" s="222"/>
      <c r="K23" s="233" t="s">
        <v>169</v>
      </c>
      <c r="L23" s="234"/>
      <c r="M23" s="234"/>
      <c r="N23" s="234"/>
      <c r="O23" s="234"/>
      <c r="P23" s="234"/>
      <c r="Q23" s="235" t="str">
        <f>DBCS(管理用!E21)</f>
        <v>８，６００</v>
      </c>
      <c r="R23" s="235"/>
      <c r="S23" s="235"/>
      <c r="T23" s="235"/>
      <c r="U23" s="236"/>
      <c r="V23" s="44"/>
      <c r="W23" s="44"/>
      <c r="X23" s="44"/>
      <c r="Y23" s="43"/>
      <c r="Z23" s="43"/>
      <c r="AA23" s="43"/>
      <c r="AB23" s="23"/>
      <c r="AC23" s="45"/>
      <c r="AD23" s="42"/>
      <c r="AE23" s="39"/>
      <c r="AF23" s="31"/>
    </row>
    <row r="24" spans="1:43" ht="17.100000000000001" customHeight="1" x14ac:dyDescent="0.15">
      <c r="H24" s="222" t="s">
        <v>13</v>
      </c>
      <c r="I24" s="222"/>
      <c r="J24" s="222"/>
      <c r="K24" s="251" t="str">
        <f>DBCS(管理用!E22)</f>
        <v>２４万</v>
      </c>
      <c r="L24" s="252"/>
      <c r="M24" s="252"/>
      <c r="N24" s="252"/>
      <c r="O24" s="252"/>
      <c r="P24" s="252"/>
      <c r="Q24" s="252"/>
      <c r="R24" s="252"/>
      <c r="S24" s="253"/>
      <c r="T24" s="253"/>
      <c r="U24" s="253"/>
      <c r="V24" s="45"/>
      <c r="W24" s="45"/>
      <c r="X24" s="45"/>
      <c r="Y24" s="43"/>
      <c r="Z24" s="43"/>
      <c r="AA24" s="43"/>
      <c r="AB24" s="38"/>
      <c r="AC24" s="40"/>
      <c r="AD24" s="39"/>
      <c r="AE24" s="39"/>
      <c r="AF24" s="31"/>
    </row>
    <row r="25" spans="1:43" ht="15" customHeight="1" x14ac:dyDescent="0.15">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row>
    <row r="26" spans="1:43" ht="20.100000000000001" customHeight="1" x14ac:dyDescent="0.15">
      <c r="A26" s="256" t="s">
        <v>1</v>
      </c>
      <c r="B26" s="256"/>
      <c r="C26" s="256"/>
      <c r="D26" s="231"/>
      <c r="E26" s="231" t="s">
        <v>75</v>
      </c>
      <c r="F26" s="231"/>
      <c r="G26" s="231"/>
      <c r="H26" s="231"/>
      <c r="I26" s="231" t="s">
        <v>76</v>
      </c>
      <c r="J26" s="231"/>
      <c r="K26" s="231"/>
      <c r="L26" s="231" t="s">
        <v>77</v>
      </c>
      <c r="M26" s="231"/>
      <c r="N26" s="231"/>
      <c r="O26" s="231"/>
      <c r="P26" s="257" t="str">
        <f>"④（③×"&amp;DBCS(管理用!E19)&amp;"）"</f>
        <v>④（③×２．２％）</v>
      </c>
      <c r="Q26" s="222"/>
      <c r="R26" s="222"/>
      <c r="S26" s="222"/>
      <c r="T26" s="222" t="s">
        <v>78</v>
      </c>
      <c r="U26" s="222"/>
      <c r="V26" s="222"/>
      <c r="W26" s="222"/>
      <c r="X26" s="222" t="s">
        <v>79</v>
      </c>
      <c r="Y26" s="223"/>
      <c r="Z26" s="223"/>
      <c r="AA26" s="223"/>
      <c r="AB26" s="231" t="s">
        <v>80</v>
      </c>
      <c r="AC26" s="223"/>
      <c r="AD26" s="223"/>
      <c r="AE26" s="223"/>
    </row>
    <row r="27" spans="1:43" ht="23.1" customHeight="1" x14ac:dyDescent="0.15">
      <c r="A27" s="256"/>
      <c r="B27" s="256"/>
      <c r="C27" s="256"/>
      <c r="D27" s="231"/>
      <c r="E27" s="258" t="s">
        <v>3</v>
      </c>
      <c r="F27" s="258"/>
      <c r="G27" s="258"/>
      <c r="H27" s="258"/>
      <c r="I27" s="240" t="s">
        <v>4</v>
      </c>
      <c r="J27" s="240"/>
      <c r="K27" s="240"/>
      <c r="L27" s="218" t="s">
        <v>6</v>
      </c>
      <c r="M27" s="218"/>
      <c r="N27" s="218"/>
      <c r="O27" s="218"/>
      <c r="P27" s="220" t="s">
        <v>7</v>
      </c>
      <c r="Q27" s="220"/>
      <c r="R27" s="220"/>
      <c r="S27" s="220"/>
      <c r="T27" s="220" t="s">
        <v>9</v>
      </c>
      <c r="U27" s="220"/>
      <c r="V27" s="220"/>
      <c r="W27" s="220"/>
      <c r="X27" s="220" t="s">
        <v>10</v>
      </c>
      <c r="Y27" s="221"/>
      <c r="Z27" s="221"/>
      <c r="AA27" s="221"/>
      <c r="AB27" s="218" t="s">
        <v>11</v>
      </c>
      <c r="AC27" s="219"/>
      <c r="AD27" s="219"/>
      <c r="AE27" s="219"/>
    </row>
    <row r="28" spans="1:43" ht="25.5" customHeight="1" x14ac:dyDescent="0.15">
      <c r="A28" s="259" t="str">
        <f t="shared" ref="A28:A34" si="3">IF(D28="","",A11)</f>
        <v/>
      </c>
      <c r="B28" s="259"/>
      <c r="C28" s="259"/>
      <c r="D28" s="33" t="str">
        <f t="shared" ref="D28:D34" si="4">IF(D11="","",D11)</f>
        <v/>
      </c>
      <c r="E28" s="241">
        <f t="shared" ref="E28:E34" si="5">IF(D28="",0,E11)</f>
        <v>0</v>
      </c>
      <c r="F28" s="242"/>
      <c r="G28" s="242"/>
      <c r="H28" s="242"/>
      <c r="I28" s="243">
        <f>I11</f>
        <v>430000</v>
      </c>
      <c r="J28" s="243"/>
      <c r="K28" s="243"/>
      <c r="L28" s="241">
        <f t="shared" ref="L28:L34" si="6">IF(E28&gt;I28,E28-I28,0)</f>
        <v>0</v>
      </c>
      <c r="M28" s="244"/>
      <c r="N28" s="244"/>
      <c r="O28" s="244"/>
      <c r="P28" s="245">
        <f>ROUNDDOWN(L28*管理用!$D$19,0)</f>
        <v>0</v>
      </c>
      <c r="Q28" s="245"/>
      <c r="R28" s="245"/>
      <c r="S28" s="245"/>
      <c r="T28" s="232">
        <f>IF(D28="",0,管理用!$D$20*(10-$AG$4)/10*IF(D28&lt;6,0.5,1))</f>
        <v>0</v>
      </c>
      <c r="U28" s="232"/>
      <c r="V28" s="232"/>
      <c r="W28" s="232"/>
      <c r="X28" s="237">
        <f>IF(AND(D28="",D29="",D30="",D31="",D32="",D33="",D34=""),0,管理用!$D$21*(10-$AG$4)/10*(4-AG6)/4)</f>
        <v>0</v>
      </c>
      <c r="Y28" s="238"/>
      <c r="Z28" s="238"/>
      <c r="AA28" s="239"/>
      <c r="AB28" s="227">
        <f>SUM(P28:AA28)</f>
        <v>0</v>
      </c>
      <c r="AC28" s="228"/>
      <c r="AD28" s="228"/>
      <c r="AE28" s="228"/>
    </row>
    <row r="29" spans="1:43" ht="25.5" customHeight="1" x14ac:dyDescent="0.15">
      <c r="A29" s="259" t="str">
        <f t="shared" si="3"/>
        <v/>
      </c>
      <c r="B29" s="259"/>
      <c r="C29" s="259"/>
      <c r="D29" s="33" t="str">
        <f t="shared" si="4"/>
        <v/>
      </c>
      <c r="E29" s="241">
        <f t="shared" si="5"/>
        <v>0</v>
      </c>
      <c r="F29" s="242"/>
      <c r="G29" s="242"/>
      <c r="H29" s="242"/>
      <c r="I29" s="243">
        <f t="shared" ref="I29:I34" si="7">I12</f>
        <v>430000</v>
      </c>
      <c r="J29" s="243"/>
      <c r="K29" s="243"/>
      <c r="L29" s="241">
        <f t="shared" si="6"/>
        <v>0</v>
      </c>
      <c r="M29" s="244"/>
      <c r="N29" s="244"/>
      <c r="O29" s="244"/>
      <c r="P29" s="245">
        <f>ROUNDDOWN(L29*管理用!$D$19,0)</f>
        <v>0</v>
      </c>
      <c r="Q29" s="245"/>
      <c r="R29" s="245"/>
      <c r="S29" s="245"/>
      <c r="T29" s="232">
        <f>IF(D29="",0,管理用!$D$20*(10-$AG$4)/10*IF(D29&lt;6,0.5,1))</f>
        <v>0</v>
      </c>
      <c r="U29" s="232"/>
      <c r="V29" s="232"/>
      <c r="W29" s="232"/>
      <c r="X29" s="229"/>
      <c r="Y29" s="230"/>
      <c r="Z29" s="230"/>
      <c r="AA29" s="230"/>
      <c r="AB29" s="227">
        <f t="shared" ref="AB29:AB34" si="8">SUM(P29:AA29)</f>
        <v>0</v>
      </c>
      <c r="AC29" s="228"/>
      <c r="AD29" s="228"/>
      <c r="AE29" s="228"/>
    </row>
    <row r="30" spans="1:43" ht="25.5" customHeight="1" x14ac:dyDescent="0.15">
      <c r="A30" s="259" t="str">
        <f t="shared" si="3"/>
        <v/>
      </c>
      <c r="B30" s="259"/>
      <c r="C30" s="259"/>
      <c r="D30" s="33" t="str">
        <f t="shared" si="4"/>
        <v/>
      </c>
      <c r="E30" s="241">
        <f t="shared" si="5"/>
        <v>0</v>
      </c>
      <c r="F30" s="242"/>
      <c r="G30" s="242"/>
      <c r="H30" s="242"/>
      <c r="I30" s="243">
        <f t="shared" si="7"/>
        <v>430000</v>
      </c>
      <c r="J30" s="243"/>
      <c r="K30" s="243"/>
      <c r="L30" s="241">
        <f t="shared" si="6"/>
        <v>0</v>
      </c>
      <c r="M30" s="244"/>
      <c r="N30" s="244"/>
      <c r="O30" s="244"/>
      <c r="P30" s="245">
        <f>ROUNDDOWN(L30*管理用!$D$19,0)</f>
        <v>0</v>
      </c>
      <c r="Q30" s="245"/>
      <c r="R30" s="245"/>
      <c r="S30" s="245"/>
      <c r="T30" s="232">
        <f>IF(D30="",0,管理用!$D$20*(10-$AG$4)/10*IF(D30&lt;6,0.5,1))</f>
        <v>0</v>
      </c>
      <c r="U30" s="232"/>
      <c r="V30" s="232"/>
      <c r="W30" s="232"/>
      <c r="X30" s="229"/>
      <c r="Y30" s="230"/>
      <c r="Z30" s="230"/>
      <c r="AA30" s="230"/>
      <c r="AB30" s="227">
        <f t="shared" si="8"/>
        <v>0</v>
      </c>
      <c r="AC30" s="228"/>
      <c r="AD30" s="228"/>
      <c r="AE30" s="228"/>
    </row>
    <row r="31" spans="1:43" ht="25.5" customHeight="1" x14ac:dyDescent="0.15">
      <c r="A31" s="259" t="str">
        <f t="shared" si="3"/>
        <v/>
      </c>
      <c r="B31" s="259"/>
      <c r="C31" s="259"/>
      <c r="D31" s="33" t="str">
        <f t="shared" si="4"/>
        <v/>
      </c>
      <c r="E31" s="241">
        <f t="shared" si="5"/>
        <v>0</v>
      </c>
      <c r="F31" s="242"/>
      <c r="G31" s="242"/>
      <c r="H31" s="242"/>
      <c r="I31" s="243">
        <f t="shared" si="7"/>
        <v>430000</v>
      </c>
      <c r="J31" s="243"/>
      <c r="K31" s="243"/>
      <c r="L31" s="241">
        <f t="shared" si="6"/>
        <v>0</v>
      </c>
      <c r="M31" s="244"/>
      <c r="N31" s="244"/>
      <c r="O31" s="244"/>
      <c r="P31" s="245">
        <f>ROUNDDOWN(L31*管理用!$D$19,0)</f>
        <v>0</v>
      </c>
      <c r="Q31" s="245"/>
      <c r="R31" s="245"/>
      <c r="S31" s="245"/>
      <c r="T31" s="232">
        <f>IF(D31="",0,管理用!$D$20*(10-$AG$4)/10*IF(D31&lt;6,0.5,1))</f>
        <v>0</v>
      </c>
      <c r="U31" s="232"/>
      <c r="V31" s="232"/>
      <c r="W31" s="232"/>
      <c r="X31" s="229"/>
      <c r="Y31" s="230"/>
      <c r="Z31" s="230"/>
      <c r="AA31" s="230"/>
      <c r="AB31" s="227">
        <f t="shared" si="8"/>
        <v>0</v>
      </c>
      <c r="AC31" s="228"/>
      <c r="AD31" s="228"/>
      <c r="AE31" s="228"/>
    </row>
    <row r="32" spans="1:43" ht="25.5" customHeight="1" x14ac:dyDescent="0.15">
      <c r="A32" s="259" t="str">
        <f t="shared" si="3"/>
        <v/>
      </c>
      <c r="B32" s="259"/>
      <c r="C32" s="259"/>
      <c r="D32" s="33" t="str">
        <f t="shared" si="4"/>
        <v/>
      </c>
      <c r="E32" s="241">
        <f t="shared" si="5"/>
        <v>0</v>
      </c>
      <c r="F32" s="242"/>
      <c r="G32" s="242"/>
      <c r="H32" s="242"/>
      <c r="I32" s="243">
        <f t="shared" si="7"/>
        <v>430000</v>
      </c>
      <c r="J32" s="243"/>
      <c r="K32" s="243"/>
      <c r="L32" s="241">
        <f t="shared" si="6"/>
        <v>0</v>
      </c>
      <c r="M32" s="244"/>
      <c r="N32" s="244"/>
      <c r="O32" s="244"/>
      <c r="P32" s="245">
        <f>ROUNDDOWN(L32*管理用!$D$19,0)</f>
        <v>0</v>
      </c>
      <c r="Q32" s="245"/>
      <c r="R32" s="245"/>
      <c r="S32" s="245"/>
      <c r="T32" s="232">
        <f>IF(D32="",0,管理用!$D$20*(10-$AG$4)/10*IF(D32&lt;6,0.5,1))</f>
        <v>0</v>
      </c>
      <c r="U32" s="232"/>
      <c r="V32" s="232"/>
      <c r="W32" s="232"/>
      <c r="X32" s="229"/>
      <c r="Y32" s="230"/>
      <c r="Z32" s="230"/>
      <c r="AA32" s="230"/>
      <c r="AB32" s="227">
        <f t="shared" si="8"/>
        <v>0</v>
      </c>
      <c r="AC32" s="228"/>
      <c r="AD32" s="228"/>
      <c r="AE32" s="228"/>
      <c r="AF32" s="34"/>
      <c r="AH32" s="34"/>
    </row>
    <row r="33" spans="1:44" ht="25.5" customHeight="1" x14ac:dyDescent="0.15">
      <c r="A33" s="259" t="str">
        <f t="shared" si="3"/>
        <v/>
      </c>
      <c r="B33" s="259"/>
      <c r="C33" s="259"/>
      <c r="D33" s="33" t="str">
        <f t="shared" si="4"/>
        <v/>
      </c>
      <c r="E33" s="241">
        <f t="shared" si="5"/>
        <v>0</v>
      </c>
      <c r="F33" s="242"/>
      <c r="G33" s="242"/>
      <c r="H33" s="242"/>
      <c r="I33" s="243">
        <f t="shared" si="7"/>
        <v>430000</v>
      </c>
      <c r="J33" s="243"/>
      <c r="K33" s="243"/>
      <c r="L33" s="241">
        <f t="shared" si="6"/>
        <v>0</v>
      </c>
      <c r="M33" s="244"/>
      <c r="N33" s="244"/>
      <c r="O33" s="244"/>
      <c r="P33" s="245">
        <f>ROUNDDOWN(L33*管理用!$D$19,0)</f>
        <v>0</v>
      </c>
      <c r="Q33" s="245"/>
      <c r="R33" s="245"/>
      <c r="S33" s="245"/>
      <c r="T33" s="232">
        <f>IF(D33="",0,管理用!$D$20*(10-$AG$4)/10*IF(D33&lt;6,0.5,1))</f>
        <v>0</v>
      </c>
      <c r="U33" s="232"/>
      <c r="V33" s="232"/>
      <c r="W33" s="232"/>
      <c r="X33" s="229"/>
      <c r="Y33" s="230"/>
      <c r="Z33" s="230"/>
      <c r="AA33" s="230"/>
      <c r="AB33" s="227">
        <f t="shared" si="8"/>
        <v>0</v>
      </c>
      <c r="AC33" s="228"/>
      <c r="AD33" s="228"/>
      <c r="AE33" s="228"/>
      <c r="AF33" s="34"/>
      <c r="AG33" s="34"/>
      <c r="AH33" s="34"/>
    </row>
    <row r="34" spans="1:44" ht="25.5" customHeight="1" x14ac:dyDescent="0.15">
      <c r="A34" s="259" t="str">
        <f t="shared" si="3"/>
        <v/>
      </c>
      <c r="B34" s="259"/>
      <c r="C34" s="259"/>
      <c r="D34" s="33" t="str">
        <f t="shared" si="4"/>
        <v/>
      </c>
      <c r="E34" s="241">
        <f t="shared" si="5"/>
        <v>0</v>
      </c>
      <c r="F34" s="242"/>
      <c r="G34" s="242"/>
      <c r="H34" s="242"/>
      <c r="I34" s="243">
        <f t="shared" si="7"/>
        <v>430000</v>
      </c>
      <c r="J34" s="243"/>
      <c r="K34" s="243"/>
      <c r="L34" s="241">
        <f t="shared" si="6"/>
        <v>0</v>
      </c>
      <c r="M34" s="244"/>
      <c r="N34" s="244"/>
      <c r="O34" s="244"/>
      <c r="P34" s="245">
        <f>ROUNDDOWN(L34*管理用!$D$19,0)</f>
        <v>0</v>
      </c>
      <c r="Q34" s="245"/>
      <c r="R34" s="245"/>
      <c r="S34" s="245"/>
      <c r="T34" s="232">
        <f>IF(D34="",0,管理用!$D$20*(10-$AG$4)/10*IF(D34&lt;6,0.5,1))</f>
        <v>0</v>
      </c>
      <c r="U34" s="232"/>
      <c r="V34" s="232"/>
      <c r="W34" s="232"/>
      <c r="X34" s="229"/>
      <c r="Y34" s="230"/>
      <c r="Z34" s="230"/>
      <c r="AA34" s="230"/>
      <c r="AB34" s="227">
        <f t="shared" si="8"/>
        <v>0</v>
      </c>
      <c r="AC34" s="228"/>
      <c r="AD34" s="228"/>
      <c r="AE34" s="228"/>
      <c r="AF34" s="34"/>
      <c r="AG34" s="34"/>
      <c r="AH34" s="34"/>
      <c r="AI34" s="34"/>
      <c r="AJ34" s="34"/>
      <c r="AK34" s="34"/>
      <c r="AL34" s="34"/>
      <c r="AM34" s="34"/>
      <c r="AN34" s="34"/>
      <c r="AO34" s="34"/>
      <c r="AP34" s="35"/>
      <c r="AQ34" s="35"/>
      <c r="AR34" s="35"/>
    </row>
    <row r="35" spans="1:44" ht="27.6" customHeight="1" x14ac:dyDescent="0.15">
      <c r="A35" s="256" t="s">
        <v>16</v>
      </c>
      <c r="B35" s="256"/>
      <c r="C35" s="256"/>
      <c r="D35" s="256"/>
      <c r="E35" s="241"/>
      <c r="F35" s="242"/>
      <c r="G35" s="242"/>
      <c r="H35" s="242"/>
      <c r="I35" s="227"/>
      <c r="J35" s="227"/>
      <c r="K35" s="227"/>
      <c r="L35" s="241" t="s">
        <v>18</v>
      </c>
      <c r="M35" s="244"/>
      <c r="N35" s="244"/>
      <c r="O35" s="244"/>
      <c r="P35" s="222"/>
      <c r="Q35" s="222"/>
      <c r="R35" s="222"/>
      <c r="S35" s="222"/>
      <c r="T35" s="222" t="s">
        <v>5</v>
      </c>
      <c r="U35" s="222"/>
      <c r="V35" s="222"/>
      <c r="W35" s="222"/>
      <c r="X35" s="222" t="s">
        <v>18</v>
      </c>
      <c r="Y35" s="223"/>
      <c r="Z35" s="223"/>
      <c r="AA35" s="223"/>
      <c r="AB35" s="224">
        <f>IF(ROUNDDOWN(SUM(AB28:AE34),-2)&gt;管理用!$D$22,管理用!$D$22,ROUNDDOWN(SUM(AB28:AE34),-2))</f>
        <v>0</v>
      </c>
      <c r="AC35" s="225"/>
      <c r="AD35" s="225"/>
      <c r="AE35" s="226"/>
      <c r="AF35" s="35"/>
      <c r="AG35" s="34"/>
    </row>
    <row r="36" spans="1:44" ht="18" customHeight="1" x14ac:dyDescent="0.15">
      <c r="AE36" s="36" t="s">
        <v>29</v>
      </c>
    </row>
    <row r="37" spans="1:44" ht="17.100000000000001" customHeight="1" x14ac:dyDescent="0.15">
      <c r="A37" s="281" t="s">
        <v>69</v>
      </c>
      <c r="B37" s="282"/>
      <c r="C37" s="282"/>
      <c r="D37" s="282"/>
      <c r="E37" s="283"/>
      <c r="H37" s="222" t="s">
        <v>7</v>
      </c>
      <c r="I37" s="222"/>
      <c r="J37" s="222"/>
      <c r="K37" s="254" t="str">
        <f>"（前年の課税総所得－基礎控除額）×"&amp;DBCS(管理用!E23)</f>
        <v>（前年の課税総所得－基礎控除額）×１．９％</v>
      </c>
      <c r="L37" s="231"/>
      <c r="M37" s="231"/>
      <c r="N37" s="231"/>
      <c r="O37" s="231"/>
      <c r="P37" s="231"/>
      <c r="Q37" s="231"/>
      <c r="R37" s="231"/>
      <c r="S37" s="255"/>
      <c r="T37" s="255"/>
      <c r="U37" s="255"/>
    </row>
    <row r="38" spans="1:44" ht="17.100000000000001" customHeight="1" x14ac:dyDescent="0.15">
      <c r="A38" s="284"/>
      <c r="B38" s="285"/>
      <c r="C38" s="285"/>
      <c r="D38" s="285"/>
      <c r="E38" s="286"/>
      <c r="H38" s="222" t="s">
        <v>8</v>
      </c>
      <c r="I38" s="222"/>
      <c r="J38" s="222"/>
      <c r="K38" s="231" t="s">
        <v>74</v>
      </c>
      <c r="L38" s="231"/>
      <c r="M38" s="231"/>
      <c r="N38" s="231"/>
      <c r="O38" s="231"/>
      <c r="P38" s="231"/>
      <c r="Q38" s="231"/>
      <c r="R38" s="231"/>
      <c r="S38" s="255"/>
      <c r="T38" s="255"/>
      <c r="U38" s="255"/>
    </row>
    <row r="39" spans="1:44" ht="17.100000000000001" customHeight="1" x14ac:dyDescent="0.15">
      <c r="H39" s="222" t="s">
        <v>12</v>
      </c>
      <c r="I39" s="222"/>
      <c r="J39" s="222"/>
      <c r="K39" s="246" t="s">
        <v>168</v>
      </c>
      <c r="L39" s="247"/>
      <c r="M39" s="247"/>
      <c r="N39" s="247"/>
      <c r="O39" s="247"/>
      <c r="P39" s="247"/>
      <c r="Q39" s="235" t="str">
        <f>DBCS(管理用!E24)</f>
        <v>９，９００</v>
      </c>
      <c r="R39" s="235"/>
      <c r="S39" s="235"/>
      <c r="T39" s="235"/>
      <c r="U39" s="236"/>
    </row>
    <row r="40" spans="1:44" ht="17.100000000000001" customHeight="1" x14ac:dyDescent="0.15">
      <c r="B40" s="22" t="s">
        <v>14</v>
      </c>
      <c r="H40" s="222" t="s">
        <v>10</v>
      </c>
      <c r="I40" s="222"/>
      <c r="J40" s="222"/>
      <c r="K40" s="233" t="s">
        <v>169</v>
      </c>
      <c r="L40" s="234"/>
      <c r="M40" s="234"/>
      <c r="N40" s="234"/>
      <c r="O40" s="234"/>
      <c r="P40" s="234"/>
      <c r="Q40" s="235" t="str">
        <f>DBCS(管理用!E25)</f>
        <v>６，７００</v>
      </c>
      <c r="R40" s="235"/>
      <c r="S40" s="235"/>
      <c r="T40" s="235"/>
      <c r="U40" s="236"/>
    </row>
    <row r="41" spans="1:44" ht="17.100000000000001" customHeight="1" x14ac:dyDescent="0.15">
      <c r="H41" s="222" t="s">
        <v>13</v>
      </c>
      <c r="I41" s="222"/>
      <c r="J41" s="222"/>
      <c r="K41" s="251" t="str">
        <f>DBCS(管理用!E26)</f>
        <v>１７万</v>
      </c>
      <c r="L41" s="252"/>
      <c r="M41" s="252"/>
      <c r="N41" s="252"/>
      <c r="O41" s="252"/>
      <c r="P41" s="252"/>
      <c r="Q41" s="252"/>
      <c r="R41" s="252"/>
      <c r="S41" s="253"/>
      <c r="T41" s="253"/>
      <c r="U41" s="253"/>
    </row>
    <row r="42" spans="1:44" ht="15" customHeight="1" x14ac:dyDescent="0.15"/>
    <row r="43" spans="1:44" ht="20.100000000000001" customHeight="1" x14ac:dyDescent="0.15">
      <c r="A43" s="231" t="s">
        <v>1</v>
      </c>
      <c r="B43" s="231"/>
      <c r="C43" s="231"/>
      <c r="D43" s="231" t="s">
        <v>2</v>
      </c>
      <c r="E43" s="231" t="s">
        <v>75</v>
      </c>
      <c r="F43" s="231"/>
      <c r="G43" s="231"/>
      <c r="H43" s="231"/>
      <c r="I43" s="231" t="s">
        <v>76</v>
      </c>
      <c r="J43" s="231"/>
      <c r="K43" s="231"/>
      <c r="L43" s="231" t="s">
        <v>77</v>
      </c>
      <c r="M43" s="231"/>
      <c r="N43" s="231"/>
      <c r="O43" s="231"/>
      <c r="P43" s="257" t="str">
        <f>"④（③×"&amp;DBCS(管理用!E23)&amp;"）"</f>
        <v>④（③×１．９％）</v>
      </c>
      <c r="Q43" s="222"/>
      <c r="R43" s="222"/>
      <c r="S43" s="222"/>
      <c r="T43" s="222" t="s">
        <v>78</v>
      </c>
      <c r="U43" s="222"/>
      <c r="V43" s="222"/>
      <c r="W43" s="222"/>
      <c r="X43" s="222" t="s">
        <v>79</v>
      </c>
      <c r="Y43" s="223"/>
      <c r="Z43" s="223"/>
      <c r="AA43" s="223"/>
      <c r="AB43" s="231" t="s">
        <v>80</v>
      </c>
      <c r="AC43" s="223"/>
      <c r="AD43" s="223"/>
      <c r="AE43" s="223"/>
    </row>
    <row r="44" spans="1:44" ht="23.1" customHeight="1" x14ac:dyDescent="0.15">
      <c r="A44" s="231"/>
      <c r="B44" s="231"/>
      <c r="C44" s="231"/>
      <c r="D44" s="231"/>
      <c r="E44" s="258" t="s">
        <v>3</v>
      </c>
      <c r="F44" s="258"/>
      <c r="G44" s="258"/>
      <c r="H44" s="258"/>
      <c r="I44" s="240" t="s">
        <v>4</v>
      </c>
      <c r="J44" s="240"/>
      <c r="K44" s="240"/>
      <c r="L44" s="218" t="s">
        <v>6</v>
      </c>
      <c r="M44" s="218"/>
      <c r="N44" s="218"/>
      <c r="O44" s="218"/>
      <c r="P44" s="220" t="s">
        <v>7</v>
      </c>
      <c r="Q44" s="220"/>
      <c r="R44" s="220"/>
      <c r="S44" s="220"/>
      <c r="T44" s="220" t="s">
        <v>9</v>
      </c>
      <c r="U44" s="220"/>
      <c r="V44" s="220"/>
      <c r="W44" s="220"/>
      <c r="X44" s="220" t="s">
        <v>10</v>
      </c>
      <c r="Y44" s="221"/>
      <c r="Z44" s="221"/>
      <c r="AA44" s="221"/>
      <c r="AB44" s="218" t="s">
        <v>11</v>
      </c>
      <c r="AC44" s="219"/>
      <c r="AD44" s="219"/>
      <c r="AE44" s="219"/>
      <c r="AG44" s="52"/>
      <c r="AH44" s="52"/>
      <c r="AI44" s="52"/>
      <c r="AJ44" s="52"/>
      <c r="AK44" s="52"/>
      <c r="AL44" s="52"/>
      <c r="AM44" s="52"/>
    </row>
    <row r="45" spans="1:44" ht="25.5" customHeight="1" x14ac:dyDescent="0.15">
      <c r="A45" s="278" t="str">
        <f t="shared" ref="A45:A51" si="9">IF(D45="","",A11)</f>
        <v/>
      </c>
      <c r="B45" s="279"/>
      <c r="C45" s="280"/>
      <c r="D45" s="25" t="str">
        <f t="shared" ref="D45:D51" si="10">IF(AND(D11&gt;39,D11&lt;65),D11,"")</f>
        <v/>
      </c>
      <c r="E45" s="241" t="str">
        <f>IF(AND(D11&gt;39,D11&lt;65),E11,"")</f>
        <v/>
      </c>
      <c r="F45" s="242"/>
      <c r="G45" s="242"/>
      <c r="H45" s="242"/>
      <c r="I45" s="243">
        <f>I11</f>
        <v>430000</v>
      </c>
      <c r="J45" s="243"/>
      <c r="K45" s="243"/>
      <c r="L45" s="241" t="str">
        <f t="shared" ref="L45:L51" si="11">IF(AND(D11&gt;39,D11&lt;65),L11,"")</f>
        <v/>
      </c>
      <c r="M45" s="244"/>
      <c r="N45" s="244"/>
      <c r="O45" s="244"/>
      <c r="P45" s="245" t="str">
        <f>IF(AND(D11&gt;39,D11&lt;65),ROUNDDOWN(L45*管理用!$D$23,0),"")</f>
        <v/>
      </c>
      <c r="Q45" s="245"/>
      <c r="R45" s="245"/>
      <c r="S45" s="245"/>
      <c r="T45" s="232" t="str">
        <f>IF(D45="","",管理用!$D$24*(10-$AG$4)/10)</f>
        <v/>
      </c>
      <c r="U45" s="232"/>
      <c r="V45" s="232"/>
      <c r="W45" s="232"/>
      <c r="X45" s="237">
        <f>IF(AND(D45="",D46="",D47="",D48="",D49="",D50="",D51=""),0,管理用!$D$25*(10-$AG$4)/10)</f>
        <v>0</v>
      </c>
      <c r="Y45" s="238"/>
      <c r="Z45" s="238"/>
      <c r="AA45" s="239"/>
      <c r="AB45" s="227">
        <f>SUM(P45:AA45)</f>
        <v>0</v>
      </c>
      <c r="AC45" s="228"/>
      <c r="AD45" s="228"/>
      <c r="AE45" s="228"/>
      <c r="AG45" s="46"/>
      <c r="AH45" s="52"/>
      <c r="AI45" s="52"/>
      <c r="AJ45" s="52"/>
      <c r="AK45" s="52"/>
      <c r="AL45" s="52"/>
      <c r="AM45" s="52"/>
    </row>
    <row r="46" spans="1:44" ht="25.5" customHeight="1" x14ac:dyDescent="0.15">
      <c r="A46" s="278" t="str">
        <f t="shared" si="9"/>
        <v/>
      </c>
      <c r="B46" s="279"/>
      <c r="C46" s="280"/>
      <c r="D46" s="25" t="str">
        <f t="shared" si="10"/>
        <v/>
      </c>
      <c r="E46" s="241" t="str">
        <f t="shared" ref="E46:E51" si="12">IF(AND(D12&gt;39,D12&lt;65),E12,"")</f>
        <v/>
      </c>
      <c r="F46" s="242"/>
      <c r="G46" s="242"/>
      <c r="H46" s="242"/>
      <c r="I46" s="243">
        <f t="shared" ref="I46:I51" si="13">I12</f>
        <v>430000</v>
      </c>
      <c r="J46" s="243"/>
      <c r="K46" s="243"/>
      <c r="L46" s="241" t="str">
        <f t="shared" si="11"/>
        <v/>
      </c>
      <c r="M46" s="244"/>
      <c r="N46" s="244"/>
      <c r="O46" s="244"/>
      <c r="P46" s="245" t="str">
        <f>IF(AND(D12&gt;39,D12&lt;65),ROUNDDOWN(L46*管理用!$D$23,0),"")</f>
        <v/>
      </c>
      <c r="Q46" s="245"/>
      <c r="R46" s="245"/>
      <c r="S46" s="245"/>
      <c r="T46" s="232" t="str">
        <f>IF(D46="","",管理用!$D$24*(10-$AG$4)/10)</f>
        <v/>
      </c>
      <c r="U46" s="232"/>
      <c r="V46" s="232"/>
      <c r="W46" s="232"/>
      <c r="X46" s="229" t="s">
        <v>18</v>
      </c>
      <c r="Y46" s="230"/>
      <c r="Z46" s="230"/>
      <c r="AA46" s="230"/>
      <c r="AB46" s="227">
        <f>SUM(P46:AA46)</f>
        <v>0</v>
      </c>
      <c r="AC46" s="228"/>
      <c r="AD46" s="228"/>
      <c r="AE46" s="228"/>
      <c r="AG46" s="46"/>
      <c r="AH46" s="52"/>
      <c r="AI46" s="52"/>
      <c r="AJ46" s="52"/>
      <c r="AK46" s="52"/>
      <c r="AL46" s="52"/>
      <c r="AM46" s="52"/>
    </row>
    <row r="47" spans="1:44" ht="25.5" customHeight="1" x14ac:dyDescent="0.15">
      <c r="A47" s="278" t="str">
        <f t="shared" si="9"/>
        <v/>
      </c>
      <c r="B47" s="279"/>
      <c r="C47" s="280"/>
      <c r="D47" s="25" t="str">
        <f t="shared" si="10"/>
        <v/>
      </c>
      <c r="E47" s="241" t="str">
        <f t="shared" si="12"/>
        <v/>
      </c>
      <c r="F47" s="242"/>
      <c r="G47" s="242"/>
      <c r="H47" s="242"/>
      <c r="I47" s="243">
        <f t="shared" si="13"/>
        <v>430000</v>
      </c>
      <c r="J47" s="243"/>
      <c r="K47" s="243"/>
      <c r="L47" s="241" t="str">
        <f t="shared" si="11"/>
        <v/>
      </c>
      <c r="M47" s="244"/>
      <c r="N47" s="244"/>
      <c r="O47" s="244"/>
      <c r="P47" s="245" t="str">
        <f>IF(AND(D13&gt;39,D13&lt;65),ROUNDDOWN(L47*管理用!$D$23,0),"")</f>
        <v/>
      </c>
      <c r="Q47" s="245"/>
      <c r="R47" s="245"/>
      <c r="S47" s="245"/>
      <c r="T47" s="232" t="str">
        <f>IF(D47="","",管理用!$D$24*(10-$AG$4)/10)</f>
        <v/>
      </c>
      <c r="U47" s="232"/>
      <c r="V47" s="232"/>
      <c r="W47" s="232"/>
      <c r="X47" s="229" t="s">
        <v>18</v>
      </c>
      <c r="Y47" s="230"/>
      <c r="Z47" s="230"/>
      <c r="AA47" s="230"/>
      <c r="AB47" s="227">
        <f t="shared" ref="AB47:AB51" si="14">SUM(P47:AA47)</f>
        <v>0</v>
      </c>
      <c r="AC47" s="228"/>
      <c r="AD47" s="228"/>
      <c r="AE47" s="228"/>
      <c r="AG47" s="46"/>
    </row>
    <row r="48" spans="1:44" ht="25.5" customHeight="1" x14ac:dyDescent="0.15">
      <c r="A48" s="278" t="str">
        <f t="shared" si="9"/>
        <v/>
      </c>
      <c r="B48" s="279"/>
      <c r="C48" s="280"/>
      <c r="D48" s="25" t="str">
        <f t="shared" si="10"/>
        <v/>
      </c>
      <c r="E48" s="241" t="str">
        <f t="shared" si="12"/>
        <v/>
      </c>
      <c r="F48" s="242"/>
      <c r="G48" s="242"/>
      <c r="H48" s="242"/>
      <c r="I48" s="243">
        <f t="shared" si="13"/>
        <v>430000</v>
      </c>
      <c r="J48" s="243"/>
      <c r="K48" s="243"/>
      <c r="L48" s="241" t="str">
        <f t="shared" si="11"/>
        <v/>
      </c>
      <c r="M48" s="244"/>
      <c r="N48" s="244"/>
      <c r="O48" s="244"/>
      <c r="P48" s="245" t="str">
        <f>IF(AND(D14&gt;39,D14&lt;65),ROUNDDOWN(L48*管理用!$D$23,0),"")</f>
        <v/>
      </c>
      <c r="Q48" s="245"/>
      <c r="R48" s="245"/>
      <c r="S48" s="245"/>
      <c r="T48" s="232" t="str">
        <f>IF(D48="","",管理用!$D$24*(10-$AG$4)/10)</f>
        <v/>
      </c>
      <c r="U48" s="232"/>
      <c r="V48" s="232"/>
      <c r="W48" s="232"/>
      <c r="X48" s="229" t="s">
        <v>18</v>
      </c>
      <c r="Y48" s="230"/>
      <c r="Z48" s="230"/>
      <c r="AA48" s="230"/>
      <c r="AB48" s="227">
        <f t="shared" si="14"/>
        <v>0</v>
      </c>
      <c r="AC48" s="228"/>
      <c r="AD48" s="228"/>
      <c r="AE48" s="228"/>
      <c r="AG48" s="46"/>
    </row>
    <row r="49" spans="1:31" ht="25.5" customHeight="1" x14ac:dyDescent="0.15">
      <c r="A49" s="278" t="str">
        <f t="shared" si="9"/>
        <v/>
      </c>
      <c r="B49" s="279"/>
      <c r="C49" s="280"/>
      <c r="D49" s="25" t="str">
        <f t="shared" si="10"/>
        <v/>
      </c>
      <c r="E49" s="241" t="str">
        <f t="shared" si="12"/>
        <v/>
      </c>
      <c r="F49" s="242"/>
      <c r="G49" s="242"/>
      <c r="H49" s="242"/>
      <c r="I49" s="243">
        <f t="shared" si="13"/>
        <v>430000</v>
      </c>
      <c r="J49" s="243"/>
      <c r="K49" s="243"/>
      <c r="L49" s="241" t="str">
        <f t="shared" si="11"/>
        <v/>
      </c>
      <c r="M49" s="244"/>
      <c r="N49" s="244"/>
      <c r="O49" s="244"/>
      <c r="P49" s="245" t="str">
        <f>IF(AND(D15&gt;39,D15&lt;65),ROUNDDOWN(L49*管理用!$D$23,0),"")</f>
        <v/>
      </c>
      <c r="Q49" s="245"/>
      <c r="R49" s="245"/>
      <c r="S49" s="245"/>
      <c r="T49" s="232" t="str">
        <f>IF(D49="","",管理用!$D$24*(10-$AG$4)/10)</f>
        <v/>
      </c>
      <c r="U49" s="232"/>
      <c r="V49" s="232"/>
      <c r="W49" s="232"/>
      <c r="X49" s="229" t="s">
        <v>18</v>
      </c>
      <c r="Y49" s="230"/>
      <c r="Z49" s="230"/>
      <c r="AA49" s="230"/>
      <c r="AB49" s="227">
        <f t="shared" si="14"/>
        <v>0</v>
      </c>
      <c r="AC49" s="228"/>
      <c r="AD49" s="228"/>
      <c r="AE49" s="228"/>
    </row>
    <row r="50" spans="1:31" ht="25.5" customHeight="1" x14ac:dyDescent="0.15">
      <c r="A50" s="278" t="str">
        <f t="shared" si="9"/>
        <v/>
      </c>
      <c r="B50" s="279"/>
      <c r="C50" s="280"/>
      <c r="D50" s="25" t="str">
        <f t="shared" si="10"/>
        <v/>
      </c>
      <c r="E50" s="241" t="str">
        <f t="shared" si="12"/>
        <v/>
      </c>
      <c r="F50" s="242"/>
      <c r="G50" s="242"/>
      <c r="H50" s="242"/>
      <c r="I50" s="243">
        <f t="shared" si="13"/>
        <v>430000</v>
      </c>
      <c r="J50" s="243"/>
      <c r="K50" s="243"/>
      <c r="L50" s="241" t="str">
        <f t="shared" si="11"/>
        <v/>
      </c>
      <c r="M50" s="244"/>
      <c r="N50" s="244"/>
      <c r="O50" s="244"/>
      <c r="P50" s="245" t="str">
        <f>IF(AND(D16&gt;39,D16&lt;65),ROUNDDOWN(L50*管理用!$D$23,0),"")</f>
        <v/>
      </c>
      <c r="Q50" s="245"/>
      <c r="R50" s="245"/>
      <c r="S50" s="245"/>
      <c r="T50" s="232" t="str">
        <f>IF(D50="","",管理用!$D$24*(10-$AG$4)/10)</f>
        <v/>
      </c>
      <c r="U50" s="232"/>
      <c r="V50" s="232"/>
      <c r="W50" s="232"/>
      <c r="X50" s="229"/>
      <c r="Y50" s="230"/>
      <c r="Z50" s="230"/>
      <c r="AA50" s="230"/>
      <c r="AB50" s="227">
        <f t="shared" si="14"/>
        <v>0</v>
      </c>
      <c r="AC50" s="228"/>
      <c r="AD50" s="228"/>
      <c r="AE50" s="228"/>
    </row>
    <row r="51" spans="1:31" ht="25.5" customHeight="1" x14ac:dyDescent="0.15">
      <c r="A51" s="278" t="str">
        <f t="shared" si="9"/>
        <v/>
      </c>
      <c r="B51" s="279"/>
      <c r="C51" s="280"/>
      <c r="D51" s="25" t="str">
        <f t="shared" si="10"/>
        <v/>
      </c>
      <c r="E51" s="241" t="str">
        <f t="shared" si="12"/>
        <v/>
      </c>
      <c r="F51" s="242"/>
      <c r="G51" s="242"/>
      <c r="H51" s="242"/>
      <c r="I51" s="243">
        <f t="shared" si="13"/>
        <v>430000</v>
      </c>
      <c r="J51" s="243"/>
      <c r="K51" s="243"/>
      <c r="L51" s="241" t="str">
        <f t="shared" si="11"/>
        <v/>
      </c>
      <c r="M51" s="244"/>
      <c r="N51" s="244"/>
      <c r="O51" s="244"/>
      <c r="P51" s="245" t="str">
        <f>IF(AND(D17&gt;39,D17&lt;65),ROUNDDOWN(L51*管理用!$D$23,0),"")</f>
        <v/>
      </c>
      <c r="Q51" s="245"/>
      <c r="R51" s="245"/>
      <c r="S51" s="245"/>
      <c r="T51" s="232" t="str">
        <f>IF(D51="","",管理用!$D$24*(10-$AG$4)/10)</f>
        <v/>
      </c>
      <c r="U51" s="232"/>
      <c r="V51" s="232"/>
      <c r="W51" s="232"/>
      <c r="X51" s="229"/>
      <c r="Y51" s="230"/>
      <c r="Z51" s="230"/>
      <c r="AA51" s="230"/>
      <c r="AB51" s="227">
        <f t="shared" si="14"/>
        <v>0</v>
      </c>
      <c r="AC51" s="228"/>
      <c r="AD51" s="228"/>
      <c r="AE51" s="228"/>
    </row>
    <row r="52" spans="1:31" ht="27.6" customHeight="1" x14ac:dyDescent="0.15">
      <c r="A52" s="275" t="s">
        <v>16</v>
      </c>
      <c r="B52" s="276"/>
      <c r="C52" s="276"/>
      <c r="D52" s="277"/>
      <c r="E52" s="241"/>
      <c r="F52" s="242"/>
      <c r="G52" s="242"/>
      <c r="H52" s="242"/>
      <c r="I52" s="227"/>
      <c r="J52" s="227"/>
      <c r="K52" s="227"/>
      <c r="L52" s="241" t="s">
        <v>81</v>
      </c>
      <c r="M52" s="244"/>
      <c r="N52" s="244"/>
      <c r="O52" s="244"/>
      <c r="P52" s="222"/>
      <c r="Q52" s="222"/>
      <c r="R52" s="222"/>
      <c r="S52" s="222"/>
      <c r="T52" s="222" t="s">
        <v>81</v>
      </c>
      <c r="U52" s="222"/>
      <c r="V52" s="222"/>
      <c r="W52" s="222"/>
      <c r="X52" s="222" t="s">
        <v>82</v>
      </c>
      <c r="Y52" s="223"/>
      <c r="Z52" s="223"/>
      <c r="AA52" s="223"/>
      <c r="AB52" s="224">
        <f>IF(ROUNDDOWN(SUM(AB45:AE51),-2)&gt;管理用!$D$26,管理用!$D$26,ROUNDDOWN(SUM(AB45:AE51),-2))</f>
        <v>0</v>
      </c>
      <c r="AC52" s="225"/>
      <c r="AD52" s="225"/>
      <c r="AE52" s="226"/>
    </row>
    <row r="53" spans="1:31" ht="17.25" customHeight="1" x14ac:dyDescent="0.15">
      <c r="A53" s="47"/>
      <c r="B53" s="47"/>
      <c r="C53" s="47"/>
      <c r="D53" s="47"/>
      <c r="E53" s="48"/>
      <c r="F53" s="48"/>
      <c r="G53" s="48"/>
      <c r="H53" s="48"/>
      <c r="I53" s="48"/>
      <c r="J53" s="48"/>
      <c r="K53" s="48"/>
      <c r="L53" s="48"/>
      <c r="M53" s="48"/>
      <c r="N53" s="48"/>
      <c r="O53" s="48"/>
      <c r="P53" s="48"/>
      <c r="Q53" s="45"/>
      <c r="R53" s="45"/>
      <c r="S53" s="45"/>
      <c r="T53" s="45"/>
      <c r="U53" s="45"/>
      <c r="V53" s="45"/>
      <c r="W53" s="49"/>
      <c r="X53" s="50"/>
      <c r="Y53" s="50"/>
      <c r="Z53" s="49"/>
      <c r="AA53" s="50"/>
      <c r="AB53" s="50"/>
      <c r="AC53" s="51"/>
      <c r="AD53" s="51"/>
      <c r="AE53" s="36" t="s">
        <v>29</v>
      </c>
    </row>
    <row r="55" spans="1:31" ht="18" customHeight="1" x14ac:dyDescent="0.15">
      <c r="AA55" s="287" t="s">
        <v>15</v>
      </c>
      <c r="AB55" s="288"/>
      <c r="AC55" s="288"/>
      <c r="AD55" s="288"/>
      <c r="AE55" s="289"/>
    </row>
    <row r="56" spans="1:31" ht="18" customHeight="1" x14ac:dyDescent="0.15">
      <c r="U56" s="55">
        <v>5</v>
      </c>
      <c r="V56" s="274" t="s">
        <v>23</v>
      </c>
      <c r="W56" s="274"/>
      <c r="X56" s="274"/>
      <c r="AA56" s="268">
        <f>AB18+AB35+AB52</f>
        <v>0</v>
      </c>
      <c r="AB56" s="269"/>
      <c r="AC56" s="269"/>
      <c r="AD56" s="269"/>
      <c r="AE56" s="270"/>
    </row>
    <row r="57" spans="1:31" ht="18" customHeight="1" x14ac:dyDescent="0.15">
      <c r="R57" s="52"/>
      <c r="S57" s="248" t="s">
        <v>25</v>
      </c>
      <c r="T57" s="249"/>
      <c r="U57" s="250">
        <f>ROUNDDOWN(AB18*U56/12,-2)</f>
        <v>0</v>
      </c>
      <c r="V57" s="250"/>
      <c r="W57" s="250"/>
      <c r="X57" s="22" t="s">
        <v>24</v>
      </c>
      <c r="AA57" s="271"/>
      <c r="AB57" s="272"/>
      <c r="AC57" s="272"/>
      <c r="AD57" s="272"/>
      <c r="AE57" s="273"/>
    </row>
    <row r="58" spans="1:31" ht="18" customHeight="1" x14ac:dyDescent="0.15">
      <c r="R58" s="52"/>
      <c r="S58" s="248" t="s">
        <v>28</v>
      </c>
      <c r="T58" s="249"/>
      <c r="U58" s="250">
        <f>ROUNDDOWN(AB35*U56/12,-2)</f>
        <v>0</v>
      </c>
      <c r="V58" s="250"/>
      <c r="W58" s="250"/>
      <c r="X58" s="22" t="s">
        <v>24</v>
      </c>
    </row>
    <row r="59" spans="1:31" ht="18" customHeight="1" x14ac:dyDescent="0.15">
      <c r="R59" s="52"/>
      <c r="S59" s="248" t="s">
        <v>26</v>
      </c>
      <c r="T59" s="249"/>
      <c r="U59" s="250">
        <f>ROUNDDOWN(AB52*U56/12,-2)</f>
        <v>0</v>
      </c>
      <c r="V59" s="250"/>
      <c r="W59" s="250"/>
      <c r="X59" s="22" t="s">
        <v>24</v>
      </c>
    </row>
    <row r="60" spans="1:31" ht="18" customHeight="1" x14ac:dyDescent="0.15">
      <c r="S60" s="248" t="s">
        <v>16</v>
      </c>
      <c r="T60" s="249"/>
      <c r="U60" s="250">
        <f>SUM(U57:W59)</f>
        <v>0</v>
      </c>
      <c r="V60" s="250"/>
      <c r="W60" s="250"/>
      <c r="X60" s="22" t="s">
        <v>24</v>
      </c>
    </row>
  </sheetData>
  <sheetProtection algorithmName="SHA-512" hashValue="sr8nmixbOaVE7tA1y4ubjR2Gz8H6Ws7PlTId8dF1azSaL6iGRKRjWcj0fuZZVeD6zjaKY0l8SDxaoXIh+h9yrw==" saltValue="bZeskqsm/dRZwIidUrmXIw==" spinCount="100000" sheet="1" objects="1" scenarios="1"/>
  <mergeCells count="299">
    <mergeCell ref="A3:E4"/>
    <mergeCell ref="H5:J5"/>
    <mergeCell ref="H6:J6"/>
    <mergeCell ref="H3:J3"/>
    <mergeCell ref="H7:J7"/>
    <mergeCell ref="A11:C11"/>
    <mergeCell ref="I11:K11"/>
    <mergeCell ref="AB3:AD3"/>
    <mergeCell ref="X3:Z3"/>
    <mergeCell ref="Y6:Z6"/>
    <mergeCell ref="Y5:Z5"/>
    <mergeCell ref="Y4:Z4"/>
    <mergeCell ref="AC4:AE4"/>
    <mergeCell ref="AC6:AE6"/>
    <mergeCell ref="AC5:AE5"/>
    <mergeCell ref="K7:U7"/>
    <mergeCell ref="E11:H11"/>
    <mergeCell ref="K3:U3"/>
    <mergeCell ref="K4:U4"/>
    <mergeCell ref="K5:P5"/>
    <mergeCell ref="K6:P6"/>
    <mergeCell ref="Q5:U5"/>
    <mergeCell ref="Q6:U6"/>
    <mergeCell ref="H4:J4"/>
    <mergeCell ref="P12:S12"/>
    <mergeCell ref="Y7:Z7"/>
    <mergeCell ref="T12:W12"/>
    <mergeCell ref="L13:O13"/>
    <mergeCell ref="L14:O14"/>
    <mergeCell ref="T14:W14"/>
    <mergeCell ref="T15:W15"/>
    <mergeCell ref="T11:W11"/>
    <mergeCell ref="T18:W18"/>
    <mergeCell ref="P11:S11"/>
    <mergeCell ref="L11:O11"/>
    <mergeCell ref="T9:W9"/>
    <mergeCell ref="T10:W10"/>
    <mergeCell ref="L12:O12"/>
    <mergeCell ref="P9:S9"/>
    <mergeCell ref="P10:S10"/>
    <mergeCell ref="P13:S13"/>
    <mergeCell ref="T13:W13"/>
    <mergeCell ref="L17:O17"/>
    <mergeCell ref="L18:O18"/>
    <mergeCell ref="P14:S14"/>
    <mergeCell ref="P15:S15"/>
    <mergeCell ref="P16:S16"/>
    <mergeCell ref="T16:W16"/>
    <mergeCell ref="X46:AA46"/>
    <mergeCell ref="X51:AA51"/>
    <mergeCell ref="AB51:AE51"/>
    <mergeCell ref="X50:AA50"/>
    <mergeCell ref="I48:K48"/>
    <mergeCell ref="P46:S46"/>
    <mergeCell ref="I45:K45"/>
    <mergeCell ref="L45:O45"/>
    <mergeCell ref="P45:S45"/>
    <mergeCell ref="I47:K47"/>
    <mergeCell ref="AB45:AE45"/>
    <mergeCell ref="AB46:AE46"/>
    <mergeCell ref="T46:W46"/>
    <mergeCell ref="I46:K46"/>
    <mergeCell ref="L46:O46"/>
    <mergeCell ref="T47:W47"/>
    <mergeCell ref="AA55:AE55"/>
    <mergeCell ref="L51:O51"/>
    <mergeCell ref="P51:S51"/>
    <mergeCell ref="I51:K51"/>
    <mergeCell ref="T52:W52"/>
    <mergeCell ref="X52:AA52"/>
    <mergeCell ref="AB52:AE52"/>
    <mergeCell ref="I52:K52"/>
    <mergeCell ref="AB47:AE47"/>
    <mergeCell ref="AB49:AE49"/>
    <mergeCell ref="AB48:AE48"/>
    <mergeCell ref="X47:AA47"/>
    <mergeCell ref="I50:K50"/>
    <mergeCell ref="L50:O50"/>
    <mergeCell ref="P50:S50"/>
    <mergeCell ref="AB50:AE50"/>
    <mergeCell ref="A29:C29"/>
    <mergeCell ref="A30:C30"/>
    <mergeCell ref="A31:C31"/>
    <mergeCell ref="H22:J22"/>
    <mergeCell ref="K38:U38"/>
    <mergeCell ref="X43:AA43"/>
    <mergeCell ref="K20:U20"/>
    <mergeCell ref="K21:U21"/>
    <mergeCell ref="P18:S18"/>
    <mergeCell ref="E18:H18"/>
    <mergeCell ref="H20:J20"/>
    <mergeCell ref="T27:W27"/>
    <mergeCell ref="K24:U24"/>
    <mergeCell ref="P43:S43"/>
    <mergeCell ref="I35:K35"/>
    <mergeCell ref="A33:C33"/>
    <mergeCell ref="E31:H31"/>
    <mergeCell ref="I31:K31"/>
    <mergeCell ref="A34:C34"/>
    <mergeCell ref="E34:H34"/>
    <mergeCell ref="I34:K34"/>
    <mergeCell ref="E12:H12"/>
    <mergeCell ref="E15:H15"/>
    <mergeCell ref="I13:K13"/>
    <mergeCell ref="E16:H16"/>
    <mergeCell ref="A52:D52"/>
    <mergeCell ref="A51:C51"/>
    <mergeCell ref="A49:C49"/>
    <mergeCell ref="A50:C50"/>
    <mergeCell ref="E43:H43"/>
    <mergeCell ref="A46:C46"/>
    <mergeCell ref="A47:C47"/>
    <mergeCell ref="E51:H51"/>
    <mergeCell ref="E52:H52"/>
    <mergeCell ref="A45:C45"/>
    <mergeCell ref="A43:C44"/>
    <mergeCell ref="D43:D44"/>
    <mergeCell ref="E45:H45"/>
    <mergeCell ref="E47:H47"/>
    <mergeCell ref="A48:C48"/>
    <mergeCell ref="E50:H50"/>
    <mergeCell ref="E46:H46"/>
    <mergeCell ref="A17:C17"/>
    <mergeCell ref="E17:H17"/>
    <mergeCell ref="A37:E38"/>
    <mergeCell ref="AA56:AE57"/>
    <mergeCell ref="E32:H32"/>
    <mergeCell ref="AB33:AE33"/>
    <mergeCell ref="X34:AA34"/>
    <mergeCell ref="E44:H44"/>
    <mergeCell ref="H21:J21"/>
    <mergeCell ref="E48:H48"/>
    <mergeCell ref="L48:O48"/>
    <mergeCell ref="V56:X56"/>
    <mergeCell ref="L44:O44"/>
    <mergeCell ref="P44:S44"/>
    <mergeCell ref="P48:S48"/>
    <mergeCell ref="T48:W48"/>
    <mergeCell ref="X48:AA48"/>
    <mergeCell ref="I49:K49"/>
    <mergeCell ref="L49:O49"/>
    <mergeCell ref="P49:S49"/>
    <mergeCell ref="T49:W49"/>
    <mergeCell ref="X49:AA49"/>
    <mergeCell ref="P47:S47"/>
    <mergeCell ref="K22:P22"/>
    <mergeCell ref="Q22:U22"/>
    <mergeCell ref="K23:P23"/>
    <mergeCell ref="E33:H33"/>
    <mergeCell ref="A9:C10"/>
    <mergeCell ref="D9:D10"/>
    <mergeCell ref="I9:K9"/>
    <mergeCell ref="I10:K10"/>
    <mergeCell ref="L9:O9"/>
    <mergeCell ref="L10:O10"/>
    <mergeCell ref="E9:H9"/>
    <mergeCell ref="E10:H10"/>
    <mergeCell ref="H23:J23"/>
    <mergeCell ref="L15:O15"/>
    <mergeCell ref="A20:E21"/>
    <mergeCell ref="A18:D18"/>
    <mergeCell ref="I17:K17"/>
    <mergeCell ref="I18:K18"/>
    <mergeCell ref="L16:O16"/>
    <mergeCell ref="A12:C12"/>
    <mergeCell ref="A13:C13"/>
    <mergeCell ref="I16:K16"/>
    <mergeCell ref="A15:C15"/>
    <mergeCell ref="A14:C14"/>
    <mergeCell ref="A16:C16"/>
    <mergeCell ref="E13:H13"/>
    <mergeCell ref="E14:H14"/>
    <mergeCell ref="I12:K12"/>
    <mergeCell ref="S59:T59"/>
    <mergeCell ref="P27:S27"/>
    <mergeCell ref="L28:O28"/>
    <mergeCell ref="P28:S28"/>
    <mergeCell ref="A26:C27"/>
    <mergeCell ref="D26:D27"/>
    <mergeCell ref="P26:S26"/>
    <mergeCell ref="E26:H26"/>
    <mergeCell ref="I26:K26"/>
    <mergeCell ref="L26:O26"/>
    <mergeCell ref="E27:H27"/>
    <mergeCell ref="L27:O27"/>
    <mergeCell ref="A28:C28"/>
    <mergeCell ref="A35:D35"/>
    <mergeCell ref="E35:H35"/>
    <mergeCell ref="A32:C32"/>
    <mergeCell ref="E49:H49"/>
    <mergeCell ref="L35:O35"/>
    <mergeCell ref="P35:S35"/>
    <mergeCell ref="L43:O43"/>
    <mergeCell ref="H40:J40"/>
    <mergeCell ref="I43:K43"/>
    <mergeCell ref="H37:J37"/>
    <mergeCell ref="H38:J38"/>
    <mergeCell ref="S60:T60"/>
    <mergeCell ref="U57:W57"/>
    <mergeCell ref="U59:W59"/>
    <mergeCell ref="U60:W60"/>
    <mergeCell ref="S58:T58"/>
    <mergeCell ref="U58:W58"/>
    <mergeCell ref="S57:T57"/>
    <mergeCell ref="P29:S29"/>
    <mergeCell ref="L31:O31"/>
    <mergeCell ref="P31:S31"/>
    <mergeCell ref="L52:O52"/>
    <mergeCell ref="P52:S52"/>
    <mergeCell ref="T50:W50"/>
    <mergeCell ref="T43:W43"/>
    <mergeCell ref="T30:W30"/>
    <mergeCell ref="L30:O30"/>
    <mergeCell ref="P30:S30"/>
    <mergeCell ref="L29:O29"/>
    <mergeCell ref="T34:W34"/>
    <mergeCell ref="T29:W29"/>
    <mergeCell ref="L47:O47"/>
    <mergeCell ref="K41:U41"/>
    <mergeCell ref="K37:U37"/>
    <mergeCell ref="T51:W51"/>
    <mergeCell ref="AB9:AE9"/>
    <mergeCell ref="AB10:AE10"/>
    <mergeCell ref="AB11:AE11"/>
    <mergeCell ref="AB12:AE12"/>
    <mergeCell ref="X9:AA9"/>
    <mergeCell ref="X10:AA10"/>
    <mergeCell ref="X11:AA11"/>
    <mergeCell ref="X12:AA12"/>
    <mergeCell ref="X30:AA30"/>
    <mergeCell ref="X28:AA28"/>
    <mergeCell ref="AB28:AE28"/>
    <mergeCell ref="X14:AA14"/>
    <mergeCell ref="X15:AA15"/>
    <mergeCell ref="X16:AA16"/>
    <mergeCell ref="X18:AA18"/>
    <mergeCell ref="X17:AA17"/>
    <mergeCell ref="AB17:AE17"/>
    <mergeCell ref="AB18:AE18"/>
    <mergeCell ref="AB13:AE13"/>
    <mergeCell ref="I14:K14"/>
    <mergeCell ref="I15:K15"/>
    <mergeCell ref="AB14:AE14"/>
    <mergeCell ref="X13:AA13"/>
    <mergeCell ref="AB15:AE15"/>
    <mergeCell ref="AB16:AE16"/>
    <mergeCell ref="AB26:AE26"/>
    <mergeCell ref="X26:AA26"/>
    <mergeCell ref="AB34:AE34"/>
    <mergeCell ref="X33:AA33"/>
    <mergeCell ref="T33:W33"/>
    <mergeCell ref="AB27:AE27"/>
    <mergeCell ref="T17:W17"/>
    <mergeCell ref="H24:J24"/>
    <mergeCell ref="I30:K30"/>
    <mergeCell ref="I27:K27"/>
    <mergeCell ref="I29:K29"/>
    <mergeCell ref="E28:H28"/>
    <mergeCell ref="I28:K28"/>
    <mergeCell ref="Q23:U23"/>
    <mergeCell ref="T28:W28"/>
    <mergeCell ref="E29:H29"/>
    <mergeCell ref="P17:S17"/>
    <mergeCell ref="T44:W44"/>
    <mergeCell ref="T31:W31"/>
    <mergeCell ref="K40:P40"/>
    <mergeCell ref="Q40:U40"/>
    <mergeCell ref="T45:W45"/>
    <mergeCell ref="X45:AA45"/>
    <mergeCell ref="I44:K44"/>
    <mergeCell ref="T26:W26"/>
    <mergeCell ref="X27:AA27"/>
    <mergeCell ref="H39:J39"/>
    <mergeCell ref="E30:H30"/>
    <mergeCell ref="T35:W35"/>
    <mergeCell ref="I32:K32"/>
    <mergeCell ref="L32:O32"/>
    <mergeCell ref="P32:S32"/>
    <mergeCell ref="T32:W32"/>
    <mergeCell ref="I33:K33"/>
    <mergeCell ref="L33:O33"/>
    <mergeCell ref="P33:S33"/>
    <mergeCell ref="H41:J41"/>
    <mergeCell ref="K39:P39"/>
    <mergeCell ref="Q39:U39"/>
    <mergeCell ref="L34:O34"/>
    <mergeCell ref="P34:S34"/>
    <mergeCell ref="AB44:AE44"/>
    <mergeCell ref="X44:AA44"/>
    <mergeCell ref="X35:AA35"/>
    <mergeCell ref="AB35:AE35"/>
    <mergeCell ref="AB29:AE29"/>
    <mergeCell ref="AB30:AE30"/>
    <mergeCell ref="AB32:AE32"/>
    <mergeCell ref="X31:AA31"/>
    <mergeCell ref="AB43:AE43"/>
    <mergeCell ref="X29:AA29"/>
    <mergeCell ref="AB31:AE31"/>
    <mergeCell ref="X32:AA32"/>
  </mergeCells>
  <phoneticPr fontId="3"/>
  <conditionalFormatting sqref="A28:C34 A45:C51">
    <cfRule type="cellIs" dxfId="0" priority="1" stopIfTrue="1" operator="equal">
      <formula>0</formula>
    </cfRule>
  </conditionalFormatting>
  <pageMargins left="0.39370078740157483" right="0.39370078740157483" top="0.39370078740157483" bottom="0.19685039370078741" header="0.32" footer="0"/>
  <pageSetup paperSize="9" scale="68" orientation="portrait"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7A218-B62B-47A2-B767-4CE2BB315E9D}">
  <dimension ref="A1:E29"/>
  <sheetViews>
    <sheetView workbookViewId="0">
      <selection activeCell="U58" sqref="U58:W58"/>
    </sheetView>
  </sheetViews>
  <sheetFormatPr defaultRowHeight="13.5" x14ac:dyDescent="0.15"/>
  <cols>
    <col min="1" max="1" width="3.625" style="112" customWidth="1"/>
    <col min="2" max="3" width="8.625" style="112" customWidth="1"/>
    <col min="4" max="4" width="12.625" style="112" customWidth="1"/>
    <col min="5" max="5" width="15.375" style="112" bestFit="1" customWidth="1"/>
    <col min="6" max="16384" width="9" style="112"/>
  </cols>
  <sheetData>
    <row r="1" spans="1:5" x14ac:dyDescent="0.15">
      <c r="A1" s="112" t="s">
        <v>170</v>
      </c>
    </row>
    <row r="2" spans="1:5" x14ac:dyDescent="0.15">
      <c r="B2" s="119"/>
      <c r="C2" s="112" t="s">
        <v>171</v>
      </c>
    </row>
    <row r="4" spans="1:5" x14ac:dyDescent="0.15">
      <c r="B4" s="294" t="s">
        <v>161</v>
      </c>
      <c r="C4" s="294"/>
      <c r="D4" s="113" t="s">
        <v>156</v>
      </c>
      <c r="E4" s="113" t="s">
        <v>157</v>
      </c>
    </row>
    <row r="5" spans="1:5" x14ac:dyDescent="0.15">
      <c r="B5" s="295" t="s">
        <v>165</v>
      </c>
      <c r="C5" s="295"/>
      <c r="D5" s="117">
        <v>45748</v>
      </c>
      <c r="E5" s="115" t="str">
        <f>TEXT(D5,"ggge")</f>
        <v>令和7</v>
      </c>
    </row>
    <row r="6" spans="1:5" x14ac:dyDescent="0.15">
      <c r="B6" s="295" t="s">
        <v>150</v>
      </c>
      <c r="C6" s="295"/>
      <c r="D6" s="118">
        <f>DATE(YEAR(D5)+1,4,0)</f>
        <v>46112</v>
      </c>
      <c r="E6" s="115" t="str">
        <f>TEXT(D6,"ggge")</f>
        <v>令和8</v>
      </c>
    </row>
    <row r="7" spans="1:5" x14ac:dyDescent="0.15">
      <c r="B7" s="295" t="s">
        <v>151</v>
      </c>
      <c r="C7" s="295"/>
      <c r="D7" s="118">
        <f>DATE(YEAR(D5)-5,5,1)</f>
        <v>43952</v>
      </c>
      <c r="E7" s="115" t="str">
        <f>TEXT(D7,"ggge")</f>
        <v>令和2</v>
      </c>
    </row>
    <row r="8" spans="1:5" x14ac:dyDescent="0.15">
      <c r="B8" s="295" t="s">
        <v>152</v>
      </c>
      <c r="C8" s="295"/>
      <c r="D8" s="118">
        <f>DATE(YEAR(D5)-8,4,1)</f>
        <v>42826</v>
      </c>
      <c r="E8" s="115" t="str">
        <f>TEXT(D8,"ggge")</f>
        <v>平成29</v>
      </c>
    </row>
    <row r="9" spans="1:5" x14ac:dyDescent="0.15">
      <c r="B9" s="295" t="s">
        <v>155</v>
      </c>
      <c r="C9" s="295"/>
      <c r="D9" s="118">
        <f>DATE(YEAR(D5)-1,4,0)</f>
        <v>45382</v>
      </c>
      <c r="E9" s="115" t="str">
        <f>TEXT(D9,"ggge")</f>
        <v>令和6</v>
      </c>
    </row>
    <row r="10" spans="1:5" x14ac:dyDescent="0.15">
      <c r="B10" s="295" t="s">
        <v>153</v>
      </c>
      <c r="C10" s="295"/>
      <c r="D10" s="118">
        <f>DATE(YEAR(D5)-65,1,2)</f>
        <v>21917</v>
      </c>
      <c r="E10" s="115" t="str">
        <f>TEXT(D10,"ggge年m月d日")</f>
        <v>昭和35年1月2日</v>
      </c>
    </row>
    <row r="11" spans="1:5" x14ac:dyDescent="0.15">
      <c r="B11" s="295" t="s">
        <v>154</v>
      </c>
      <c r="C11" s="295"/>
      <c r="D11" s="118">
        <f>D10-1</f>
        <v>21916</v>
      </c>
      <c r="E11" s="115" t="str">
        <f>TEXT(D11,"ggge年m月d日")</f>
        <v>昭和35年1月1日</v>
      </c>
    </row>
    <row r="12" spans="1:5" x14ac:dyDescent="0.15">
      <c r="B12" s="295" t="s">
        <v>158</v>
      </c>
      <c r="C12" s="295"/>
      <c r="D12" s="118">
        <f>DATE(YEAR(D5)-6,4,2)</f>
        <v>43557</v>
      </c>
      <c r="E12" s="115" t="str">
        <f>TEXT(D12,"ggge年m月d日")</f>
        <v>平成31年4月2日</v>
      </c>
    </row>
    <row r="14" spans="1:5" x14ac:dyDescent="0.15">
      <c r="B14" s="294" t="s">
        <v>161</v>
      </c>
      <c r="C14" s="294"/>
      <c r="D14" s="113" t="s">
        <v>166</v>
      </c>
      <c r="E14" s="113" t="s">
        <v>157</v>
      </c>
    </row>
    <row r="15" spans="1:5" x14ac:dyDescent="0.15">
      <c r="B15" s="296" t="s">
        <v>162</v>
      </c>
      <c r="C15" s="113" t="s">
        <v>7</v>
      </c>
      <c r="D15" s="114">
        <v>7.0000000000000007E-2</v>
      </c>
      <c r="E15" s="115" t="str">
        <f>TEXT(D15,"#.0％")</f>
        <v>7.0%</v>
      </c>
    </row>
    <row r="16" spans="1:5" x14ac:dyDescent="0.15">
      <c r="B16" s="296"/>
      <c r="C16" s="113" t="s">
        <v>12</v>
      </c>
      <c r="D16" s="116">
        <v>30600</v>
      </c>
      <c r="E16" s="115" t="str">
        <f>TEXT(D16,"#,##0")</f>
        <v>30,600</v>
      </c>
    </row>
    <row r="17" spans="2:5" x14ac:dyDescent="0.15">
      <c r="B17" s="296"/>
      <c r="C17" s="113" t="s">
        <v>10</v>
      </c>
      <c r="D17" s="116">
        <v>28700</v>
      </c>
      <c r="E17" s="115" t="str">
        <f>TEXT(D17,"#,##0")</f>
        <v>28,700</v>
      </c>
    </row>
    <row r="18" spans="2:5" x14ac:dyDescent="0.15">
      <c r="B18" s="296"/>
      <c r="C18" s="113" t="s">
        <v>163</v>
      </c>
      <c r="D18" s="116">
        <v>650000</v>
      </c>
      <c r="E18" s="115" t="str">
        <f>TEXT(D18/10000,"#,##0万")</f>
        <v>65万</v>
      </c>
    </row>
    <row r="19" spans="2:5" x14ac:dyDescent="0.15">
      <c r="B19" s="296" t="s">
        <v>164</v>
      </c>
      <c r="C19" s="113" t="s">
        <v>7</v>
      </c>
      <c r="D19" s="114">
        <v>2.1999999999999999E-2</v>
      </c>
      <c r="E19" s="115" t="str">
        <f>TEXT(D19,"#.0％")</f>
        <v>2.2%</v>
      </c>
    </row>
    <row r="20" spans="2:5" x14ac:dyDescent="0.15">
      <c r="B20" s="296"/>
      <c r="C20" s="113" t="s">
        <v>12</v>
      </c>
      <c r="D20" s="116">
        <v>9800</v>
      </c>
      <c r="E20" s="115" t="str">
        <f>TEXT(D20,"#,##0")</f>
        <v>9,800</v>
      </c>
    </row>
    <row r="21" spans="2:5" x14ac:dyDescent="0.15">
      <c r="B21" s="296"/>
      <c r="C21" s="113" t="s">
        <v>10</v>
      </c>
      <c r="D21" s="116">
        <v>8600</v>
      </c>
      <c r="E21" s="115" t="str">
        <f>TEXT(D21,"#,##0")</f>
        <v>8,600</v>
      </c>
    </row>
    <row r="22" spans="2:5" x14ac:dyDescent="0.15">
      <c r="B22" s="296"/>
      <c r="C22" s="113" t="s">
        <v>163</v>
      </c>
      <c r="D22" s="116">
        <v>240000</v>
      </c>
      <c r="E22" s="115" t="str">
        <f>TEXT(D22/10000,"#,##0万")</f>
        <v>24万</v>
      </c>
    </row>
    <row r="23" spans="2:5" x14ac:dyDescent="0.15">
      <c r="B23" s="296" t="s">
        <v>26</v>
      </c>
      <c r="C23" s="113" t="s">
        <v>7</v>
      </c>
      <c r="D23" s="114">
        <v>1.9E-2</v>
      </c>
      <c r="E23" s="115" t="str">
        <f>TEXT(D23,"#.0％")</f>
        <v>1.9%</v>
      </c>
    </row>
    <row r="24" spans="2:5" x14ac:dyDescent="0.15">
      <c r="B24" s="296"/>
      <c r="C24" s="113" t="s">
        <v>12</v>
      </c>
      <c r="D24" s="116">
        <v>9900</v>
      </c>
      <c r="E24" s="115" t="str">
        <f>TEXT(D24,"#,##0")</f>
        <v>9,900</v>
      </c>
    </row>
    <row r="25" spans="2:5" x14ac:dyDescent="0.15">
      <c r="B25" s="296"/>
      <c r="C25" s="113" t="s">
        <v>10</v>
      </c>
      <c r="D25" s="116">
        <v>6700</v>
      </c>
      <c r="E25" s="115" t="str">
        <f>TEXT(D25,"#,##0")</f>
        <v>6,700</v>
      </c>
    </row>
    <row r="26" spans="2:5" x14ac:dyDescent="0.15">
      <c r="B26" s="296"/>
      <c r="C26" s="113" t="s">
        <v>163</v>
      </c>
      <c r="D26" s="116">
        <v>170000</v>
      </c>
      <c r="E26" s="115" t="str">
        <f>TEXT(D26/10000,"#,##0万")</f>
        <v>17万</v>
      </c>
    </row>
    <row r="27" spans="2:5" x14ac:dyDescent="0.15">
      <c r="B27" s="294" t="s">
        <v>167</v>
      </c>
      <c r="C27" s="294"/>
      <c r="D27" s="136">
        <f>D18+D22+D26</f>
        <v>1060000</v>
      </c>
      <c r="E27" s="115" t="str">
        <f>TEXT(D27/10000,"#,###万")</f>
        <v>106万</v>
      </c>
    </row>
    <row r="29" spans="2:5" x14ac:dyDescent="0.15">
      <c r="B29" s="138" t="s">
        <v>174</v>
      </c>
    </row>
  </sheetData>
  <mergeCells count="14">
    <mergeCell ref="B27:C27"/>
    <mergeCell ref="B11:C11"/>
    <mergeCell ref="B12:C12"/>
    <mergeCell ref="B4:C4"/>
    <mergeCell ref="B15:B18"/>
    <mergeCell ref="B19:B22"/>
    <mergeCell ref="B23:B26"/>
    <mergeCell ref="B14:C14"/>
    <mergeCell ref="B5:C5"/>
    <mergeCell ref="B6:C6"/>
    <mergeCell ref="B7:C7"/>
    <mergeCell ref="B8:C8"/>
    <mergeCell ref="B9:C9"/>
    <mergeCell ref="B10:C10"/>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9"/>
  <sheetViews>
    <sheetView topLeftCell="A13"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情報入力!G24</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IF(AND($F$3&gt;=C7,$F$3&lt;=E7),$F$3,0)</f>
        <v>0</v>
      </c>
      <c r="G7" s="93">
        <f>IF(F7=0,0,F7-550000)</f>
        <v>0</v>
      </c>
    </row>
    <row r="8" spans="1:7" x14ac:dyDescent="0.15">
      <c r="C8" s="93">
        <f t="shared" ref="C8:C16" si="0">E7+1</f>
        <v>1619000</v>
      </c>
      <c r="D8" s="93" t="s">
        <v>105</v>
      </c>
      <c r="E8" s="93">
        <v>1619999</v>
      </c>
      <c r="F8" s="93">
        <f t="shared" ref="F8:F15" si="1">IF(AND($F$3&gt;=C8,$F$3&lt;=E8),$F$3,0)</f>
        <v>0</v>
      </c>
      <c r="G8" s="93">
        <f>IF(F8=0,0,1069000)</f>
        <v>0</v>
      </c>
    </row>
    <row r="9" spans="1:7" x14ac:dyDescent="0.15">
      <c r="C9" s="93">
        <f t="shared" si="0"/>
        <v>1620000</v>
      </c>
      <c r="D9" s="93" t="s">
        <v>105</v>
      </c>
      <c r="E9" s="93">
        <v>1621999</v>
      </c>
      <c r="F9" s="93">
        <f t="shared" si="1"/>
        <v>0</v>
      </c>
      <c r="G9" s="93">
        <f>IF(F9=0,0,1070000)</f>
        <v>0</v>
      </c>
    </row>
    <row r="10" spans="1:7" x14ac:dyDescent="0.15">
      <c r="C10" s="93">
        <f t="shared" si="0"/>
        <v>1622000</v>
      </c>
      <c r="D10" s="93" t="s">
        <v>105</v>
      </c>
      <c r="E10" s="93">
        <v>1623999</v>
      </c>
      <c r="F10" s="93">
        <f t="shared" si="1"/>
        <v>0</v>
      </c>
      <c r="G10" s="93">
        <f>IF(F10=0,0,1072000)</f>
        <v>0</v>
      </c>
    </row>
    <row r="11" spans="1:7" x14ac:dyDescent="0.15">
      <c r="C11" s="93">
        <f t="shared" si="0"/>
        <v>1624000</v>
      </c>
      <c r="D11" s="93" t="s">
        <v>105</v>
      </c>
      <c r="E11" s="93">
        <v>1627999</v>
      </c>
      <c r="F11" s="93">
        <f t="shared" si="1"/>
        <v>0</v>
      </c>
      <c r="G11" s="93">
        <f>IF(F11=0,0,1074000)</f>
        <v>0</v>
      </c>
    </row>
    <row r="12" spans="1:7" x14ac:dyDescent="0.15">
      <c r="C12" s="93">
        <f t="shared" si="0"/>
        <v>1628000</v>
      </c>
      <c r="D12" s="93" t="s">
        <v>105</v>
      </c>
      <c r="E12" s="93">
        <v>1799999</v>
      </c>
      <c r="F12" s="93">
        <f t="shared" si="1"/>
        <v>0</v>
      </c>
      <c r="G12" s="93">
        <f>IF(F12=0,0,ROUNDDOWN(F12/4,-3)*2.4+100000)</f>
        <v>0</v>
      </c>
    </row>
    <row r="13" spans="1:7" x14ac:dyDescent="0.15">
      <c r="C13" s="93">
        <f t="shared" si="0"/>
        <v>1800000</v>
      </c>
      <c r="D13" s="93" t="s">
        <v>105</v>
      </c>
      <c r="E13" s="93">
        <v>3599999</v>
      </c>
      <c r="F13" s="93">
        <f t="shared" si="1"/>
        <v>0</v>
      </c>
      <c r="G13" s="93">
        <f>IF(F13=0,0,ROUNDDOWN(F13/4,-3)*2.8-80000)</f>
        <v>0</v>
      </c>
    </row>
    <row r="14" spans="1:7" x14ac:dyDescent="0.15">
      <c r="C14" s="93">
        <f t="shared" si="0"/>
        <v>3600000</v>
      </c>
      <c r="D14" s="93" t="s">
        <v>105</v>
      </c>
      <c r="E14" s="93">
        <v>6599999</v>
      </c>
      <c r="F14" s="93">
        <f t="shared" si="1"/>
        <v>0</v>
      </c>
      <c r="G14" s="93">
        <f>IF(F14=0,0,ROUNDDOWN(F14/4,-3)*3.2-440000)</f>
        <v>0</v>
      </c>
    </row>
    <row r="15" spans="1:7" x14ac:dyDescent="0.15">
      <c r="C15" s="93">
        <f t="shared" si="0"/>
        <v>6600000</v>
      </c>
      <c r="D15" s="93" t="s">
        <v>105</v>
      </c>
      <c r="E15" s="93">
        <v>8499999</v>
      </c>
      <c r="F15" s="93">
        <f t="shared" si="1"/>
        <v>0</v>
      </c>
      <c r="G15" s="93">
        <f>IF(F15=0,0,ROUNDDOWN(F15*0.9,0)-1100000)</f>
        <v>0</v>
      </c>
    </row>
    <row r="16" spans="1:7" x14ac:dyDescent="0.15">
      <c r="C16" s="93">
        <f t="shared" si="0"/>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MIN(情報入力!AS24,100000)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139">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情報入力!K24</f>
        <v>0</v>
      </c>
      <c r="G33" s="95" t="s">
        <v>101</v>
      </c>
      <c r="L33" s="99" t="str">
        <f>情報入力!O24</f>
        <v>以降</v>
      </c>
      <c r="M33" s="99">
        <f>管理用!D10</f>
        <v>21917</v>
      </c>
      <c r="N33" s="100" t="s">
        <v>130</v>
      </c>
      <c r="O33" s="100">
        <f>M33-1</f>
        <v>21916</v>
      </c>
      <c r="P33" t="s">
        <v>131</v>
      </c>
    </row>
    <row r="34" spans="2:16" x14ac:dyDescent="0.15">
      <c r="K34" s="101" t="s">
        <v>127</v>
      </c>
      <c r="L34" s="102">
        <f>IF(L33="以降",1,0)</f>
        <v>1</v>
      </c>
    </row>
    <row r="35" spans="2:16" x14ac:dyDescent="0.15">
      <c r="C35" s="297" t="s">
        <v>132</v>
      </c>
      <c r="D35" s="297"/>
      <c r="E35" s="297"/>
      <c r="F35" s="93">
        <f>情報入力!P24</f>
        <v>0</v>
      </c>
      <c r="K35" s="101" t="s">
        <v>128</v>
      </c>
      <c r="L35" s="102">
        <f>IF(L33="以前",1,0)</f>
        <v>0</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"65歳未満（"&amp;TEXT(M33,"ge.m.d")&amp;"以後生まれ）"</f>
        <v>65歳未満（S35.1.2以後生まれ）</v>
      </c>
    </row>
    <row r="42" spans="2:16" x14ac:dyDescent="0.15">
      <c r="C42" s="297"/>
      <c r="D42" s="297"/>
      <c r="E42" s="297"/>
      <c r="F42" s="297"/>
      <c r="G42" s="298" t="s">
        <v>137</v>
      </c>
      <c r="H42" s="299"/>
      <c r="I42" s="299"/>
      <c r="J42" s="103"/>
    </row>
    <row r="43" spans="2:16" x14ac:dyDescent="0.15">
      <c r="C43" s="300" t="s">
        <v>102</v>
      </c>
      <c r="D43" s="297"/>
      <c r="E43" s="297"/>
      <c r="F43" s="103" t="s">
        <v>103</v>
      </c>
      <c r="G43" s="103" t="s">
        <v>138</v>
      </c>
      <c r="H43" s="103" t="s">
        <v>139</v>
      </c>
      <c r="I43" s="103"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"65歳以上（"&amp;TEXT(O33,"ge.m.d")&amp;"以前生まれ）"</f>
        <v>65歳以上（S35.1.1以前生まれ）</v>
      </c>
    </row>
    <row r="51" spans="3:10" x14ac:dyDescent="0.15">
      <c r="C51" s="297"/>
      <c r="D51" s="297"/>
      <c r="E51" s="297"/>
      <c r="F51" s="297"/>
      <c r="G51" s="298" t="s">
        <v>137</v>
      </c>
      <c r="H51" s="299"/>
      <c r="I51" s="299"/>
      <c r="J51" s="103"/>
    </row>
    <row r="52" spans="3:10" x14ac:dyDescent="0.15">
      <c r="C52" s="300" t="s">
        <v>102</v>
      </c>
      <c r="D52" s="297"/>
      <c r="E52" s="297"/>
      <c r="F52" s="103" t="s">
        <v>103</v>
      </c>
      <c r="G52" s="103" t="s">
        <v>138</v>
      </c>
      <c r="H52" s="103" t="s">
        <v>139</v>
      </c>
      <c r="I52" s="103"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139">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200-000000000000}">
      <formula1>$S$20:$S$21</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情報入力!G25</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MIN(情報入力!AS25,100000)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情報入力!K25</f>
        <v>0</v>
      </c>
      <c r="G33" s="95" t="s">
        <v>101</v>
      </c>
      <c r="L33" s="99" t="str">
        <f>情報入力!O25</f>
        <v>以降</v>
      </c>
      <c r="M33" s="99">
        <f>管理用!D10</f>
        <v>21917</v>
      </c>
      <c r="N33" s="100" t="s">
        <v>130</v>
      </c>
      <c r="O33" s="100">
        <f>M33-1</f>
        <v>21916</v>
      </c>
      <c r="P33" t="s">
        <v>131</v>
      </c>
    </row>
    <row r="34" spans="2:16" x14ac:dyDescent="0.15">
      <c r="K34" s="101" t="s">
        <v>127</v>
      </c>
      <c r="L34" s="102">
        <f>IF(L33="以降",1,0)</f>
        <v>1</v>
      </c>
    </row>
    <row r="35" spans="2:16" x14ac:dyDescent="0.15">
      <c r="C35" s="297" t="s">
        <v>132</v>
      </c>
      <c r="D35" s="297"/>
      <c r="E35" s="297"/>
      <c r="F35" s="93">
        <f>情報入力!P25</f>
        <v>0</v>
      </c>
      <c r="K35" s="101" t="s">
        <v>128</v>
      </c>
      <c r="L35" s="102">
        <f>IF(L33="以前",1,0)</f>
        <v>0</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300-000000000000}">
      <formula1>$S$20:$S$21</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情報入力!G26</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MIN(情報入力!AS26,100000)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情報入力!K26</f>
        <v>0</v>
      </c>
      <c r="G33" s="95" t="s">
        <v>101</v>
      </c>
      <c r="L33" s="99" t="str">
        <f>情報入力!O26</f>
        <v>以降</v>
      </c>
      <c r="M33" s="99">
        <f>管理用!D10</f>
        <v>21917</v>
      </c>
      <c r="N33" s="100" t="s">
        <v>130</v>
      </c>
      <c r="O33" s="100">
        <f>M33-1</f>
        <v>21916</v>
      </c>
      <c r="P33" t="s">
        <v>131</v>
      </c>
    </row>
    <row r="34" spans="2:16" x14ac:dyDescent="0.15">
      <c r="K34" s="101" t="s">
        <v>127</v>
      </c>
      <c r="L34" s="102">
        <f>IF(L33="以降",1,0)</f>
        <v>1</v>
      </c>
    </row>
    <row r="35" spans="2:16" x14ac:dyDescent="0.15">
      <c r="C35" s="297" t="s">
        <v>132</v>
      </c>
      <c r="D35" s="297"/>
      <c r="E35" s="297"/>
      <c r="F35" s="93">
        <f>情報入力!P26</f>
        <v>0</v>
      </c>
      <c r="K35" s="101" t="s">
        <v>128</v>
      </c>
      <c r="L35" s="102">
        <f>IF(L33="以前",1,0)</f>
        <v>0</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400-000000000000}">
      <formula1>$S$20:$S$21</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情報入力!G27</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MIN(情報入力!AS27,100000)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情報入力!K27</f>
        <v>0</v>
      </c>
      <c r="G33" s="95" t="s">
        <v>101</v>
      </c>
      <c r="L33" s="99" t="str">
        <f>情報入力!O27</f>
        <v>以降</v>
      </c>
      <c r="M33" s="99">
        <f>管理用!D10</f>
        <v>21917</v>
      </c>
      <c r="N33" s="100" t="s">
        <v>130</v>
      </c>
      <c r="O33" s="100">
        <f>M33-1</f>
        <v>21916</v>
      </c>
      <c r="P33" t="s">
        <v>131</v>
      </c>
    </row>
    <row r="34" spans="2:16" x14ac:dyDescent="0.15">
      <c r="K34" s="101" t="s">
        <v>127</v>
      </c>
      <c r="L34" s="102">
        <f>IF(L33="以降",1,0)</f>
        <v>1</v>
      </c>
    </row>
    <row r="35" spans="2:16" x14ac:dyDescent="0.15">
      <c r="C35" s="297" t="s">
        <v>132</v>
      </c>
      <c r="D35" s="297"/>
      <c r="E35" s="297"/>
      <c r="F35" s="93">
        <f>情報入力!P27</f>
        <v>0</v>
      </c>
      <c r="K35" s="101" t="s">
        <v>128</v>
      </c>
      <c r="L35" s="102">
        <f>IF(L33="以前",1,0)</f>
        <v>0</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500-000000000000}">
      <formula1>$S$20:$S$21</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情報入力!G28</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MIN(情報入力!AS28,100000)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情報入力!K28</f>
        <v>0</v>
      </c>
      <c r="G33" s="95" t="s">
        <v>101</v>
      </c>
      <c r="L33" s="99" t="str">
        <f>情報入力!O28</f>
        <v>以降</v>
      </c>
      <c r="M33" s="99">
        <f>管理用!D10</f>
        <v>21917</v>
      </c>
      <c r="N33" s="100" t="s">
        <v>130</v>
      </c>
      <c r="O33" s="100">
        <f>M33-1</f>
        <v>21916</v>
      </c>
      <c r="P33" t="s">
        <v>131</v>
      </c>
    </row>
    <row r="34" spans="2:16" x14ac:dyDescent="0.15">
      <c r="K34" s="101" t="s">
        <v>127</v>
      </c>
      <c r="L34" s="102">
        <f>IF(L33="以降",1,0)</f>
        <v>1</v>
      </c>
    </row>
    <row r="35" spans="2:16" x14ac:dyDescent="0.15">
      <c r="C35" s="297" t="s">
        <v>132</v>
      </c>
      <c r="D35" s="297"/>
      <c r="E35" s="297"/>
      <c r="F35" s="93">
        <f>情報入力!P28</f>
        <v>0</v>
      </c>
      <c r="K35" s="101" t="s">
        <v>128</v>
      </c>
      <c r="L35" s="102">
        <f>IF(L33="以前",1,0)</f>
        <v>0</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600-000000000000}">
      <formula1>$S$20:$S$21</formula1>
    </dataValidation>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9"/>
  <sheetViews>
    <sheetView zoomScale="70" zoomScaleNormal="70" workbookViewId="0">
      <selection activeCell="U58" sqref="U58:W58"/>
    </sheetView>
  </sheetViews>
  <sheetFormatPr defaultRowHeight="13.5" x14ac:dyDescent="0.15"/>
  <cols>
    <col min="1" max="2" width="2.625" customWidth="1"/>
    <col min="3" max="3" width="10.625" customWidth="1"/>
    <col min="4" max="4" width="3.375" bestFit="1" customWidth="1"/>
    <col min="5" max="5" width="10.625" customWidth="1"/>
    <col min="6" max="7" width="12.625" style="93" customWidth="1"/>
    <col min="8" max="9" width="12.625" customWidth="1"/>
    <col min="17" max="17" width="37.375" customWidth="1"/>
    <col min="18" max="18" width="37.5" customWidth="1"/>
  </cols>
  <sheetData>
    <row r="1" spans="1:7" x14ac:dyDescent="0.15">
      <c r="A1" t="s">
        <v>98</v>
      </c>
    </row>
    <row r="2" spans="1:7" x14ac:dyDescent="0.15">
      <c r="B2" t="s">
        <v>99</v>
      </c>
    </row>
    <row r="3" spans="1:7" x14ac:dyDescent="0.15">
      <c r="C3" s="297" t="s">
        <v>100</v>
      </c>
      <c r="D3" s="297"/>
      <c r="E3" s="297"/>
      <c r="F3" s="94">
        <f>情報入力!G29</f>
        <v>0</v>
      </c>
      <c r="G3" s="95" t="s">
        <v>101</v>
      </c>
    </row>
    <row r="5" spans="1:7" x14ac:dyDescent="0.15">
      <c r="C5" s="300" t="s">
        <v>102</v>
      </c>
      <c r="D5" s="297"/>
      <c r="E5" s="297"/>
      <c r="F5" s="93" t="s">
        <v>103</v>
      </c>
      <c r="G5" s="93" t="s">
        <v>104</v>
      </c>
    </row>
    <row r="6" spans="1:7" x14ac:dyDescent="0.15">
      <c r="C6" s="93"/>
      <c r="D6" s="93" t="s">
        <v>105</v>
      </c>
      <c r="E6" s="93">
        <v>550999</v>
      </c>
      <c r="F6" s="93">
        <f>IF($F$3&lt;=E6,$F$3,0)</f>
        <v>0</v>
      </c>
      <c r="G6" s="93">
        <v>0</v>
      </c>
    </row>
    <row r="7" spans="1:7" x14ac:dyDescent="0.15">
      <c r="C7" s="93">
        <f>E6+1</f>
        <v>551000</v>
      </c>
      <c r="D7" s="93" t="s">
        <v>105</v>
      </c>
      <c r="E7" s="93">
        <v>1618999</v>
      </c>
      <c r="F7" s="93">
        <f t="shared" ref="F7:F15" si="0">IF(AND($F$3&gt;=C7,$F$3&lt;=E7),$F$3,0)</f>
        <v>0</v>
      </c>
      <c r="G7" s="93">
        <f>IF(F7=0,0,F7-550000)</f>
        <v>0</v>
      </c>
    </row>
    <row r="8" spans="1:7" x14ac:dyDescent="0.15">
      <c r="C8" s="93">
        <f t="shared" ref="C8:C16" si="1">E7+1</f>
        <v>1619000</v>
      </c>
      <c r="D8" s="93" t="s">
        <v>105</v>
      </c>
      <c r="E8" s="93">
        <v>1619999</v>
      </c>
      <c r="F8" s="93">
        <f t="shared" si="0"/>
        <v>0</v>
      </c>
      <c r="G8" s="93">
        <f>IF(F8=0,0,1069000)</f>
        <v>0</v>
      </c>
    </row>
    <row r="9" spans="1:7" x14ac:dyDescent="0.15">
      <c r="C9" s="93">
        <f t="shared" si="1"/>
        <v>1620000</v>
      </c>
      <c r="D9" s="93" t="s">
        <v>105</v>
      </c>
      <c r="E9" s="93">
        <v>1621999</v>
      </c>
      <c r="F9" s="93">
        <f t="shared" si="0"/>
        <v>0</v>
      </c>
      <c r="G9" s="93">
        <f>IF(F9=0,0,1070000)</f>
        <v>0</v>
      </c>
    </row>
    <row r="10" spans="1:7" x14ac:dyDescent="0.15">
      <c r="C10" s="93">
        <f t="shared" si="1"/>
        <v>1622000</v>
      </c>
      <c r="D10" s="93" t="s">
        <v>105</v>
      </c>
      <c r="E10" s="93">
        <v>1623999</v>
      </c>
      <c r="F10" s="93">
        <f t="shared" si="0"/>
        <v>0</v>
      </c>
      <c r="G10" s="93">
        <f>IF(F10=0,0,1072000)</f>
        <v>0</v>
      </c>
    </row>
    <row r="11" spans="1:7" x14ac:dyDescent="0.15">
      <c r="C11" s="93">
        <f t="shared" si="1"/>
        <v>1624000</v>
      </c>
      <c r="D11" s="93" t="s">
        <v>105</v>
      </c>
      <c r="E11" s="93">
        <v>1627999</v>
      </c>
      <c r="F11" s="93">
        <f t="shared" si="0"/>
        <v>0</v>
      </c>
      <c r="G11" s="93">
        <f>IF(F11=0,0,1074000)</f>
        <v>0</v>
      </c>
    </row>
    <row r="12" spans="1:7" x14ac:dyDescent="0.15">
      <c r="C12" s="93">
        <f t="shared" si="1"/>
        <v>1628000</v>
      </c>
      <c r="D12" s="93" t="s">
        <v>105</v>
      </c>
      <c r="E12" s="93">
        <v>1799999</v>
      </c>
      <c r="F12" s="93">
        <f t="shared" si="0"/>
        <v>0</v>
      </c>
      <c r="G12" s="93">
        <f>IF(F12=0,0,ROUNDDOWN(F12/4,-3)*2.4+100000)</f>
        <v>0</v>
      </c>
    </row>
    <row r="13" spans="1:7" x14ac:dyDescent="0.15">
      <c r="C13" s="93">
        <f t="shared" si="1"/>
        <v>1800000</v>
      </c>
      <c r="D13" s="93" t="s">
        <v>105</v>
      </c>
      <c r="E13" s="93">
        <v>3599999</v>
      </c>
      <c r="F13" s="93">
        <f t="shared" si="0"/>
        <v>0</v>
      </c>
      <c r="G13" s="93">
        <f>IF(F13=0,0,ROUNDDOWN(F13/4,-3)*2.8-80000)</f>
        <v>0</v>
      </c>
    </row>
    <row r="14" spans="1:7" x14ac:dyDescent="0.15">
      <c r="C14" s="93">
        <f t="shared" si="1"/>
        <v>3600000</v>
      </c>
      <c r="D14" s="93" t="s">
        <v>105</v>
      </c>
      <c r="E14" s="93">
        <v>6599999</v>
      </c>
      <c r="F14" s="93">
        <f t="shared" si="0"/>
        <v>0</v>
      </c>
      <c r="G14" s="93">
        <f>IF(F14=0,0,ROUNDDOWN(F14/4,-3)*3.2-440000)</f>
        <v>0</v>
      </c>
    </row>
    <row r="15" spans="1:7" x14ac:dyDescent="0.15">
      <c r="C15" s="93">
        <f t="shared" si="1"/>
        <v>6600000</v>
      </c>
      <c r="D15" s="93" t="s">
        <v>105</v>
      </c>
      <c r="E15" s="93">
        <v>8499999</v>
      </c>
      <c r="F15" s="93">
        <f t="shared" si="0"/>
        <v>0</v>
      </c>
      <c r="G15" s="93">
        <f>IF(F15=0,0,ROUNDDOWN(F15*0.9,0)-1100000)</f>
        <v>0</v>
      </c>
    </row>
    <row r="16" spans="1:7" x14ac:dyDescent="0.15">
      <c r="C16" s="93">
        <f t="shared" si="1"/>
        <v>8500000</v>
      </c>
      <c r="D16" s="93" t="s">
        <v>105</v>
      </c>
      <c r="E16" s="93"/>
      <c r="F16" s="93">
        <f>IF($F$3&gt;=C16,$F$3,0)</f>
        <v>0</v>
      </c>
      <c r="G16" s="93">
        <f>IF(F16=0,0,F16-1950000)</f>
        <v>0</v>
      </c>
    </row>
    <row r="17" spans="1:19" x14ac:dyDescent="0.15">
      <c r="G17" s="93">
        <f>SUM(G6:G16)</f>
        <v>0</v>
      </c>
      <c r="H17" s="96" t="s">
        <v>106</v>
      </c>
    </row>
    <row r="18" spans="1:19" x14ac:dyDescent="0.15">
      <c r="H18" s="96"/>
    </row>
    <row r="19" spans="1:19" x14ac:dyDescent="0.15">
      <c r="B19" t="s">
        <v>107</v>
      </c>
      <c r="Q19" s="301" t="s">
        <v>108</v>
      </c>
      <c r="R19" s="301" t="s">
        <v>109</v>
      </c>
    </row>
    <row r="20" spans="1:19" x14ac:dyDescent="0.15">
      <c r="C20" s="297" t="s">
        <v>100</v>
      </c>
      <c r="D20" s="297"/>
      <c r="E20" s="297"/>
      <c r="F20" s="93">
        <f>IF(AND(F3&gt;8500000,OR(Q21=S21,R21=S21)),F3,0)</f>
        <v>0</v>
      </c>
      <c r="G20" s="95" t="s">
        <v>110</v>
      </c>
      <c r="Q20" s="302"/>
      <c r="R20" s="302"/>
    </row>
    <row r="21" spans="1:19" x14ac:dyDescent="0.15">
      <c r="C21" s="300" t="s">
        <v>111</v>
      </c>
      <c r="D21" s="297"/>
      <c r="E21" s="297"/>
      <c r="F21" s="93">
        <f>IF(AND(F3&gt;8500000,OR(Q21=S21,R21=S21)),F20-8500000,0)</f>
        <v>0</v>
      </c>
      <c r="G21" s="95" t="s">
        <v>112</v>
      </c>
      <c r="Q21" s="97"/>
      <c r="R21" s="97"/>
      <c r="S21" t="s">
        <v>113</v>
      </c>
    </row>
    <row r="22" spans="1:19" x14ac:dyDescent="0.15">
      <c r="C22" s="297" t="s">
        <v>114</v>
      </c>
      <c r="D22" s="297"/>
      <c r="E22" s="297"/>
      <c r="F22" s="93">
        <f>ROUNDUP(F21*0.1,0)</f>
        <v>0</v>
      </c>
      <c r="G22" s="95" t="s">
        <v>115</v>
      </c>
    </row>
    <row r="23" spans="1:19" x14ac:dyDescent="0.15">
      <c r="C23" s="297" t="s">
        <v>116</v>
      </c>
      <c r="D23" s="297"/>
      <c r="E23" s="297"/>
      <c r="F23" s="93">
        <f>G17-F22</f>
        <v>0</v>
      </c>
      <c r="G23" s="95" t="s">
        <v>117</v>
      </c>
    </row>
    <row r="25" spans="1:19" x14ac:dyDescent="0.15">
      <c r="B25" t="s">
        <v>118</v>
      </c>
      <c r="H25" t="s">
        <v>180</v>
      </c>
    </row>
    <row r="26" spans="1:19" x14ac:dyDescent="0.15">
      <c r="C26" s="297" t="s">
        <v>119</v>
      </c>
      <c r="D26" s="297"/>
      <c r="E26" s="297"/>
      <c r="F26" s="93">
        <f>MIN(G17,100000)</f>
        <v>0</v>
      </c>
      <c r="G26" s="95" t="s">
        <v>120</v>
      </c>
      <c r="H26" s="144">
        <f>MIN(G17,100000)</f>
        <v>0</v>
      </c>
      <c r="I26" s="143" t="s">
        <v>176</v>
      </c>
    </row>
    <row r="27" spans="1:19" x14ac:dyDescent="0.15">
      <c r="C27" s="297" t="s">
        <v>121</v>
      </c>
      <c r="D27" s="297"/>
      <c r="E27" s="297"/>
      <c r="F27" s="93">
        <f>MIN(F59,100000)</f>
        <v>0</v>
      </c>
      <c r="G27" s="95" t="s">
        <v>122</v>
      </c>
      <c r="H27" s="144">
        <f>MIN(情報入力!AS29,100000)</f>
        <v>0</v>
      </c>
      <c r="I27" s="143" t="s">
        <v>177</v>
      </c>
    </row>
    <row r="28" spans="1:19" x14ac:dyDescent="0.15">
      <c r="C28" s="297" t="s">
        <v>114</v>
      </c>
      <c r="D28" s="297"/>
      <c r="E28" s="297"/>
      <c r="F28" s="93">
        <f>MAX(F26+F27-100000,0)</f>
        <v>0</v>
      </c>
      <c r="G28" s="95" t="s">
        <v>123</v>
      </c>
      <c r="H28" s="93">
        <f>MAX(H26+H27-100000,0)</f>
        <v>0</v>
      </c>
      <c r="I28" s="143" t="s">
        <v>178</v>
      </c>
    </row>
    <row r="29" spans="1:19" x14ac:dyDescent="0.15">
      <c r="C29" s="297" t="s">
        <v>116</v>
      </c>
      <c r="D29" s="297"/>
      <c r="E29" s="297"/>
      <c r="F29" s="93">
        <f>MAX(G17-F28,0)</f>
        <v>0</v>
      </c>
      <c r="G29" s="95" t="s">
        <v>124</v>
      </c>
      <c r="H29" s="139">
        <f>MAX(G17-H28,0)</f>
        <v>0</v>
      </c>
      <c r="I29" s="143" t="s">
        <v>179</v>
      </c>
    </row>
    <row r="30" spans="1:19" x14ac:dyDescent="0.15">
      <c r="C30" s="98"/>
      <c r="D30" s="98"/>
      <c r="E30" s="98"/>
      <c r="G30" s="95"/>
    </row>
    <row r="31" spans="1:19" x14ac:dyDescent="0.15">
      <c r="A31" t="s">
        <v>125</v>
      </c>
    </row>
    <row r="32" spans="1:19" x14ac:dyDescent="0.15">
      <c r="B32" t="s">
        <v>99</v>
      </c>
      <c r="L32" t="s">
        <v>126</v>
      </c>
      <c r="M32" s="297" t="s">
        <v>127</v>
      </c>
      <c r="N32" s="297"/>
      <c r="O32" s="297" t="s">
        <v>128</v>
      </c>
      <c r="P32" s="297"/>
    </row>
    <row r="33" spans="2:16" x14ac:dyDescent="0.15">
      <c r="C33" s="297" t="s">
        <v>129</v>
      </c>
      <c r="D33" s="297"/>
      <c r="E33" s="297"/>
      <c r="F33" s="94">
        <f>情報入力!K29</f>
        <v>0</v>
      </c>
      <c r="G33" s="95" t="s">
        <v>101</v>
      </c>
      <c r="L33" s="99" t="str">
        <f>情報入力!O29</f>
        <v>以降</v>
      </c>
      <c r="M33" s="99">
        <f>管理用!D10</f>
        <v>21917</v>
      </c>
      <c r="N33" s="100" t="s">
        <v>130</v>
      </c>
      <c r="O33" s="100">
        <f>M33-1</f>
        <v>21916</v>
      </c>
      <c r="P33" t="s">
        <v>131</v>
      </c>
    </row>
    <row r="34" spans="2:16" x14ac:dyDescent="0.15">
      <c r="K34" s="101" t="s">
        <v>127</v>
      </c>
      <c r="L34" s="102">
        <f>IF(L33="以降",1,0)</f>
        <v>1</v>
      </c>
    </row>
    <row r="35" spans="2:16" x14ac:dyDescent="0.15">
      <c r="C35" s="297" t="s">
        <v>132</v>
      </c>
      <c r="D35" s="297"/>
      <c r="E35" s="297"/>
      <c r="F35" s="93">
        <f>情報入力!P29</f>
        <v>0</v>
      </c>
      <c r="K35" s="101" t="s">
        <v>128</v>
      </c>
      <c r="L35" s="102">
        <f>IF(L33="以前",1,0)</f>
        <v>0</v>
      </c>
    </row>
    <row r="36" spans="2:16" x14ac:dyDescent="0.15">
      <c r="C36" s="297" t="s">
        <v>133</v>
      </c>
      <c r="D36" s="297"/>
      <c r="E36" s="297"/>
      <c r="F36" s="93">
        <f>G17</f>
        <v>0</v>
      </c>
    </row>
    <row r="37" spans="2:16" x14ac:dyDescent="0.15">
      <c r="C37" s="297" t="s">
        <v>134</v>
      </c>
      <c r="D37" s="297"/>
      <c r="E37" s="297"/>
      <c r="F37" s="93">
        <f>SUM(F35:F36)</f>
        <v>0</v>
      </c>
      <c r="G37" s="95" t="s">
        <v>135</v>
      </c>
    </row>
    <row r="40" spans="2:16" x14ac:dyDescent="0.15">
      <c r="B40" t="s">
        <v>136</v>
      </c>
    </row>
    <row r="41" spans="2:16" x14ac:dyDescent="0.15">
      <c r="C41" t="str">
        <f>世１!C41</f>
        <v>65歳未満（S35.1.2以後生まれ）</v>
      </c>
    </row>
    <row r="42" spans="2:16" x14ac:dyDescent="0.15">
      <c r="C42" s="297"/>
      <c r="D42" s="297"/>
      <c r="E42" s="297"/>
      <c r="F42" s="297"/>
      <c r="G42" s="298" t="s">
        <v>137</v>
      </c>
      <c r="H42" s="299"/>
      <c r="I42" s="299"/>
      <c r="J42" s="103"/>
    </row>
    <row r="43" spans="2:16" x14ac:dyDescent="0.15">
      <c r="C43" s="300" t="s">
        <v>102</v>
      </c>
      <c r="D43" s="297"/>
      <c r="E43" s="297"/>
      <c r="F43" s="135" t="s">
        <v>103</v>
      </c>
      <c r="G43" s="135" t="s">
        <v>138</v>
      </c>
      <c r="H43" s="135" t="s">
        <v>139</v>
      </c>
      <c r="I43" s="135" t="s">
        <v>140</v>
      </c>
      <c r="J43" s="93"/>
    </row>
    <row r="44" spans="2:16" x14ac:dyDescent="0.15">
      <c r="C44" s="93"/>
      <c r="D44" s="93" t="s">
        <v>105</v>
      </c>
      <c r="E44" s="93">
        <v>1300000</v>
      </c>
      <c r="F44" s="93">
        <f>IF(AND($F$33&lt;=E44,$L$34=1),$F$33,0)</f>
        <v>0</v>
      </c>
      <c r="G44" s="93">
        <f>IF(AND($F$37&lt;=10000000,$F44&gt;0),600000,0)</f>
        <v>0</v>
      </c>
      <c r="H44" s="93">
        <f>IF(AND($F$37&gt;10000000,$F$37&lt;=20000000,$F44&gt;0),500000,0)</f>
        <v>0</v>
      </c>
      <c r="I44" s="93">
        <f>IF(AND($F$37&gt;20000000,$F44&gt;0),600000,0)</f>
        <v>0</v>
      </c>
      <c r="J44" s="93"/>
    </row>
    <row r="45" spans="2:16" x14ac:dyDescent="0.15">
      <c r="C45" s="93">
        <f>E44+1</f>
        <v>1300001</v>
      </c>
      <c r="D45" s="93" t="s">
        <v>105</v>
      </c>
      <c r="E45" s="93">
        <v>4100000</v>
      </c>
      <c r="F45" s="93">
        <f>IF(AND($F$33&gt;=C45,$F$33&lt;=E45,$L$34=1),$F$33,0)</f>
        <v>0</v>
      </c>
      <c r="G45" s="93">
        <f>IF(AND($F$37&lt;=10000000,$F45&gt;0),ROUNDUP($F$45*0.25+275000,0),0)</f>
        <v>0</v>
      </c>
      <c r="H45" s="93">
        <f>IF(AND($F$37&gt;10000000,$F$37&lt;=20000000,$F45&gt;0),ROUNDUP($F$45*0.25+175000,0),0)</f>
        <v>0</v>
      </c>
      <c r="I45" s="93">
        <f>IF(AND($F$37&gt;20000000,$F45&gt;0),ROUNDUP($F$45*0.25+75000,0),0)</f>
        <v>0</v>
      </c>
      <c r="J45" s="93"/>
    </row>
    <row r="46" spans="2:16" x14ac:dyDescent="0.15">
      <c r="C46" s="93">
        <f t="shared" ref="C46:C48" si="2">E45+1</f>
        <v>4100001</v>
      </c>
      <c r="D46" s="93" t="s">
        <v>105</v>
      </c>
      <c r="E46" s="93">
        <v>7700000</v>
      </c>
      <c r="F46" s="93">
        <f>IF(AND($F$33&gt;=C46,$F$33&lt;=E46,$L$34=1),$F$33,0)</f>
        <v>0</v>
      </c>
      <c r="G46" s="93">
        <f>IF(AND($F$37&lt;=10000000,$F46&gt;0),ROUNDUP($F$46*0.15+685000,0),0)</f>
        <v>0</v>
      </c>
      <c r="H46" s="93">
        <f>IF(AND($F$37&gt;10000000,$F$37&lt;=20000000,$F46&gt;0),ROUNDUP($F$46*0.15+585000,0),0)</f>
        <v>0</v>
      </c>
      <c r="I46" s="93">
        <f>IF(AND($F$37&gt;20000000,$F46&gt;0),ROUNDUP($F$46*0.15+485000,0),0)</f>
        <v>0</v>
      </c>
      <c r="J46" s="93"/>
    </row>
    <row r="47" spans="2:16" x14ac:dyDescent="0.15">
      <c r="C47" s="93">
        <f t="shared" si="2"/>
        <v>7700001</v>
      </c>
      <c r="D47" s="93" t="s">
        <v>105</v>
      </c>
      <c r="E47" s="93">
        <v>10000000</v>
      </c>
      <c r="F47" s="93">
        <f>IF(AND($F$33&gt;=C47,$F$33&lt;=E47,$L$34=1),$F$33,0)</f>
        <v>0</v>
      </c>
      <c r="G47" s="93">
        <f>IF(AND($F$37&lt;=10000000,$F47&gt;0),ROUNDUP($F$47*0.05+1455000,0),0)</f>
        <v>0</v>
      </c>
      <c r="H47" s="93">
        <f>IF(AND($F$37&gt;10000000,$F$37&lt;=20000000,$F47&gt;0),ROUNDUP($F$47*0.05+1355000,0),0)</f>
        <v>0</v>
      </c>
      <c r="I47" s="93">
        <f>IF(AND($F$37&gt;20000000,$F47&gt;0),ROUNDUP($F$47*0.05+1255000,0),0)</f>
        <v>0</v>
      </c>
      <c r="J47" s="93"/>
    </row>
    <row r="48" spans="2:16" x14ac:dyDescent="0.15">
      <c r="C48" s="93">
        <f t="shared" si="2"/>
        <v>10000001</v>
      </c>
      <c r="D48" s="93" t="s">
        <v>105</v>
      </c>
      <c r="E48" s="93"/>
      <c r="F48" s="93">
        <f>IF(AND($F$33&gt;=C48,$L$34=1),$F$33,0)</f>
        <v>0</v>
      </c>
      <c r="G48" s="93">
        <f>IF(AND($F$37&lt;=10000000,$F48&gt;0),1955000,0)</f>
        <v>0</v>
      </c>
      <c r="H48" s="93">
        <f>IF(AND($F$37&gt;10000000,$F$37&lt;=20000000,$F48&gt;0),1855000,0)</f>
        <v>0</v>
      </c>
      <c r="I48" s="93">
        <f>IF(AND($F$37&gt;20000000,$F48&gt;0),1755000,0)</f>
        <v>0</v>
      </c>
      <c r="J48" s="93"/>
    </row>
    <row r="49" spans="3:10" x14ac:dyDescent="0.15">
      <c r="C49" s="93"/>
      <c r="D49" s="93"/>
      <c r="E49" s="93"/>
    </row>
    <row r="50" spans="3:10" x14ac:dyDescent="0.15">
      <c r="C50" t="str">
        <f>世１!C50</f>
        <v>65歳以上（S35.1.1以前生まれ）</v>
      </c>
    </row>
    <row r="51" spans="3:10" x14ac:dyDescent="0.15">
      <c r="C51" s="297"/>
      <c r="D51" s="297"/>
      <c r="E51" s="297"/>
      <c r="F51" s="297"/>
      <c r="G51" s="298" t="s">
        <v>137</v>
      </c>
      <c r="H51" s="299"/>
      <c r="I51" s="299"/>
      <c r="J51" s="103"/>
    </row>
    <row r="52" spans="3:10" x14ac:dyDescent="0.15">
      <c r="C52" s="300" t="s">
        <v>102</v>
      </c>
      <c r="D52" s="297"/>
      <c r="E52" s="297"/>
      <c r="F52" s="135" t="s">
        <v>103</v>
      </c>
      <c r="G52" s="135" t="s">
        <v>138</v>
      </c>
      <c r="H52" s="135" t="s">
        <v>139</v>
      </c>
      <c r="I52" s="135" t="s">
        <v>140</v>
      </c>
      <c r="J52" s="93"/>
    </row>
    <row r="53" spans="3:10" x14ac:dyDescent="0.15">
      <c r="C53" s="93"/>
      <c r="D53" s="93" t="s">
        <v>105</v>
      </c>
      <c r="E53" s="93">
        <v>3300000</v>
      </c>
      <c r="F53" s="93">
        <f>IF(AND($F$33&lt;=E53,$L$35=1),$F$33,0)</f>
        <v>0</v>
      </c>
      <c r="G53" s="93">
        <f>IF(AND($F$37&lt;=10000000,$F53&gt;0),1100000,0)</f>
        <v>0</v>
      </c>
      <c r="H53" s="93">
        <f>IF(AND($F$37&gt;10000000,$F$37&lt;=20000000,$F53&gt;0),1000000,0)</f>
        <v>0</v>
      </c>
      <c r="I53" s="93">
        <f>IF(AND($F$37&gt;20000000,$F53&gt;0),900000,0)</f>
        <v>0</v>
      </c>
      <c r="J53" s="93"/>
    </row>
    <row r="54" spans="3:10" x14ac:dyDescent="0.15">
      <c r="C54" s="93">
        <f>E53+1</f>
        <v>3300001</v>
      </c>
      <c r="D54" s="93" t="s">
        <v>105</v>
      </c>
      <c r="E54" s="93">
        <v>4100000</v>
      </c>
      <c r="F54" s="93">
        <f>IF(AND($F$33&gt;=C54,$F$33&lt;=E54,$L$35=1),$F$33,0)</f>
        <v>0</v>
      </c>
      <c r="G54" s="93">
        <f>IF(AND($F$37&lt;=10000000,$F54&gt;0),ROUNDUP($F$54*0.25+275000,0),0)</f>
        <v>0</v>
      </c>
      <c r="H54" s="93">
        <f>IF(AND($F$37&gt;10000000,$F$37&lt;=20000000,$F54&gt;0),ROUNDUP($F$54*0.25+175000,0),0)</f>
        <v>0</v>
      </c>
      <c r="I54" s="93">
        <f>IF(AND($F$37&gt;20000000,$F54&gt;0),ROUNDUP($F$54*0.25+75000,0),0)</f>
        <v>0</v>
      </c>
      <c r="J54" s="93"/>
    </row>
    <row r="55" spans="3:10" x14ac:dyDescent="0.15">
      <c r="C55" s="93">
        <f t="shared" ref="C55:C56" si="3">E54+1</f>
        <v>4100001</v>
      </c>
      <c r="D55" s="93" t="s">
        <v>105</v>
      </c>
      <c r="E55" s="93">
        <v>7700000</v>
      </c>
      <c r="F55" s="93">
        <f>IF(AND($F$33&gt;=C55,$F$33&lt;=E55,$L$35=1),$F$33,0)</f>
        <v>0</v>
      </c>
      <c r="G55" s="93">
        <f>IF(AND($F$37&lt;=10000000,$F55&gt;0),ROUNDUP($F$55*0.15+685000,0),0)</f>
        <v>0</v>
      </c>
      <c r="H55" s="93">
        <f>IF(AND($F$37&gt;10000000,$F$37&lt;=20000000,$F55&gt;0),ROUNDUP($F$55*0.15+585000,0),0)</f>
        <v>0</v>
      </c>
      <c r="I55" s="93">
        <f>IF(AND($F$37&gt;20000000,$F55&gt;0),ROUNDUP($F$55*0.15+485000,0),0)</f>
        <v>0</v>
      </c>
      <c r="J55" s="93"/>
    </row>
    <row r="56" spans="3:10" x14ac:dyDescent="0.15">
      <c r="C56" s="93">
        <f t="shared" si="3"/>
        <v>7700001</v>
      </c>
      <c r="D56" s="93" t="s">
        <v>105</v>
      </c>
      <c r="E56" s="93">
        <v>10000000</v>
      </c>
      <c r="F56" s="93">
        <f>IF(AND($F$33&gt;=C56,$F$33&lt;=E56,$L$35=1),$F$33,0)</f>
        <v>0</v>
      </c>
      <c r="G56" s="93">
        <f>IF(AND($F$37&lt;=10000000,$F56&gt;0),ROUNDUP($F$56*0.05+1455000,0),0)</f>
        <v>0</v>
      </c>
      <c r="H56" s="93">
        <f>IF(AND($F$37&gt;10000000,$F$37&lt;=20000000,$F56&gt;0),ROUNDUP($F$56*0.05+1355000,0),0)</f>
        <v>0</v>
      </c>
      <c r="I56" s="93">
        <f>IF(AND($F$37&gt;20000000,$F56&gt;0),ROUNDUP($F$56*0.05+1255000,0),0)</f>
        <v>0</v>
      </c>
      <c r="J56" s="93"/>
    </row>
    <row r="57" spans="3:10" x14ac:dyDescent="0.15">
      <c r="C57" s="93">
        <f>E56+1</f>
        <v>10000001</v>
      </c>
      <c r="D57" s="93" t="s">
        <v>105</v>
      </c>
      <c r="E57" s="93"/>
      <c r="F57" s="93">
        <f>IF(AND($F$33&gt;=C57,$L$35=1),$F$33,0)</f>
        <v>0</v>
      </c>
      <c r="G57" s="93">
        <f>IF(AND($F$37&lt;=10000000,$F57&gt;0),1955000,0)</f>
        <v>0</v>
      </c>
      <c r="H57" s="93">
        <f>IF(AND($F$37&gt;10000000,$F$37&lt;=20000000,$F57&gt;0),1855000,0)</f>
        <v>0</v>
      </c>
      <c r="I57" s="93">
        <f>IF(AND($F$37&gt;20000000,$F57&gt;0),1755000,0)</f>
        <v>0</v>
      </c>
      <c r="J57" s="93"/>
    </row>
    <row r="58" spans="3:10" x14ac:dyDescent="0.15">
      <c r="H58" s="96"/>
    </row>
    <row r="59" spans="3:10" x14ac:dyDescent="0.15">
      <c r="C59" s="297" t="s">
        <v>141</v>
      </c>
      <c r="D59" s="297"/>
      <c r="E59" s="297"/>
      <c r="F59" s="93">
        <f>MAX(F33-SUM(G44:I48,G53:I57),0)</f>
        <v>0</v>
      </c>
      <c r="G59" s="95" t="s">
        <v>110</v>
      </c>
    </row>
  </sheetData>
  <mergeCells count="25">
    <mergeCell ref="C21:E21"/>
    <mergeCell ref="C3:E3"/>
    <mergeCell ref="C5:E5"/>
    <mergeCell ref="Q19:Q20"/>
    <mergeCell ref="R19:R20"/>
    <mergeCell ref="C20:E20"/>
    <mergeCell ref="C37:E37"/>
    <mergeCell ref="C22:E22"/>
    <mergeCell ref="C23:E23"/>
    <mergeCell ref="C26:E26"/>
    <mergeCell ref="C27:E27"/>
    <mergeCell ref="C28:E28"/>
    <mergeCell ref="C29:E29"/>
    <mergeCell ref="M32:N32"/>
    <mergeCell ref="O32:P32"/>
    <mergeCell ref="C33:E33"/>
    <mergeCell ref="C35:E35"/>
    <mergeCell ref="C36:E36"/>
    <mergeCell ref="C59:E59"/>
    <mergeCell ref="C42:F42"/>
    <mergeCell ref="G42:I42"/>
    <mergeCell ref="C43:E43"/>
    <mergeCell ref="C51:F51"/>
    <mergeCell ref="G51:I51"/>
    <mergeCell ref="C52:E52"/>
  </mergeCells>
  <phoneticPr fontId="3"/>
  <dataValidations count="1">
    <dataValidation type="list" allowBlank="1" showInputMessage="1" showErrorMessage="1" sqref="Q21:R21" xr:uid="{00000000-0002-0000-0700-000000000000}">
      <formula1>$S$20:$S$21</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情報入力</vt:lpstr>
      <vt:lpstr>税額計算</vt:lpstr>
      <vt:lpstr>管理用</vt:lpstr>
      <vt:lpstr>世１</vt:lpstr>
      <vt:lpstr>世２</vt:lpstr>
      <vt:lpstr>世３</vt:lpstr>
      <vt:lpstr>世４</vt:lpstr>
      <vt:lpstr>世５</vt:lpstr>
      <vt:lpstr>世６</vt:lpstr>
      <vt:lpstr>世７</vt:lpstr>
      <vt:lpstr>世主</vt:lpstr>
      <vt:lpstr>旧１</vt:lpstr>
      <vt:lpstr>旧２</vt:lpstr>
      <vt:lpstr>旧３</vt:lpstr>
      <vt:lpstr>情報入力!Print_Area</vt:lpstr>
      <vt:lpstr>税額計算!Print_Area</vt:lpstr>
    </vt:vector>
  </TitlesOfParts>
  <Company>電子計算課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小松市役所</dc:creator>
  <cp:lastModifiedBy>医療保険課</cp:lastModifiedBy>
  <cp:lastPrinted>2023-03-15T00:51:44Z</cp:lastPrinted>
  <dcterms:created xsi:type="dcterms:W3CDTF">2001-11-05T07:17:33Z</dcterms:created>
  <dcterms:modified xsi:type="dcterms:W3CDTF">2025-01-20T05:43:44Z</dcterms:modified>
</cp:coreProperties>
</file>